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9200" windowHeight="7350" tabRatio="563"/>
  </bookViews>
  <sheets>
    <sheet name="общее" sheetId="1" r:id="rId1"/>
  </sheets>
  <definedNames>
    <definedName name="_xlnm._FilterDatabase" localSheetId="0" hidden="1">общее!$A$8:$J$323</definedName>
    <definedName name="Z_005F280F_9A8C_4D61_A462_F589D592D290_.wvu.FilterData" localSheetId="0" hidden="1">общее!$A$8:$J$378</definedName>
    <definedName name="Z_027FE178_1172_4222_AF5C_23D964AF488A_.wvu.FilterData" localSheetId="0" hidden="1">общее!$A$6:$J$8</definedName>
    <definedName name="Z_0344C8F5_CCC1_4DA4_B4BA_9CEFB0A093F3_.wvu.FilterData" localSheetId="0" hidden="1">общее!$A$8:$J$378</definedName>
    <definedName name="Z_0419BBFE_F3CF_4518_8D24_82FEA8B7DDD6_.wvu.FilterData" localSheetId="0" hidden="1">общее!$A$8:$J$556</definedName>
    <definedName name="Z_06B1F1AE_9936_453D_B440_89FD7733A859_.wvu.FilterData" localSheetId="0" hidden="1">общее!$A$8:$J$454</definedName>
    <definedName name="Z_06B33669_D909_4CD8_806F_33C009B9DF0A_.wvu.FilterData" localSheetId="0" hidden="1">общее!$A$8:$J$378</definedName>
    <definedName name="Z_08491732_1BAF_49CD_8956_D3E9C2B85304_.wvu.FilterData" localSheetId="0" hidden="1">общее!$A$8:$J$378</definedName>
    <definedName name="Z_09F33DD9_E062_4B93_90BA_A6E8876D9E62_.wvu.FilterData" localSheetId="0" hidden="1">общее!$A$6:$J$8</definedName>
    <definedName name="Z_0B19D168_858D_4BCF_80E5_C18DD77CBE9F_.wvu.FilterData" localSheetId="0" hidden="1">общее!$A$6:$J$8</definedName>
    <definedName name="Z_0BDDB9FE_C07B_4E21_8514_F3881AE78CD6_.wvu.FilterData" localSheetId="0" hidden="1">общее!$A$8:$J$378</definedName>
    <definedName name="Z_0C71E80D_0254_4693_A8EC_34A4BD1A6F73_.wvu.FilterData" localSheetId="0" hidden="1">общее!$A$6:$J$8</definedName>
    <definedName name="Z_0CBA335B_0DD8_471B_913E_91954D8A7DE8_.wvu.FilterData" localSheetId="0" hidden="1">общее!$A$8:$J$378</definedName>
    <definedName name="Z_0CBA335B_0DD8_471B_913E_91954D8A7DE8_.wvu.Rows" localSheetId="0" hidden="1">общее!#REF!</definedName>
    <definedName name="Z_0EDC1FFF_2611_4DAC_98A8_22EC25025967_.wvu.FilterData" localSheetId="0" hidden="1">общее!$A$8:$J$454</definedName>
    <definedName name="Z_0F954C44_2E2C_4880_A030_4864EA711FE0_.wvu.FilterData" localSheetId="0" hidden="1">общее!$A$8:$J$556</definedName>
    <definedName name="Z_16D4F077_2EAE_4B98_A742_A1CD9A7B633C_.wvu.FilterData" localSheetId="0" hidden="1">общее!$A$8:$J$454</definedName>
    <definedName name="Z_1748D69A_4DB3_487A_8AD7_C0B3B71D3FB6_.wvu.FilterData" localSheetId="0" hidden="1">общее!$A$6:$J$8</definedName>
    <definedName name="Z_1862B7E4_4060_4370_88AF_4829C34881B7_.wvu.FilterData" localSheetId="0" hidden="1">общее!$A$8:$J$556</definedName>
    <definedName name="Z_1BA267BF_F5D4_4EB6_B077_27E074A28B2C_.wvu.FilterData" localSheetId="0" hidden="1">общее!$A$8:$J$556</definedName>
    <definedName name="Z_1BDFBE17_25BB_4BB9_B67F_4757B39B2D64_.wvu.FilterData" localSheetId="0" hidden="1">общее!$A$8:$J$378</definedName>
    <definedName name="Z_1E3BB7AF_B756_4A0C_A2BE_D723B28D252A_.wvu.FilterData" localSheetId="0" hidden="1">общее!$A$8:$J$454</definedName>
    <definedName name="Z_2021983A_3D6E_4804_9038_C33FE9EA644F_.wvu.FilterData" localSheetId="0" hidden="1">общее!$A$8:$J$454</definedName>
    <definedName name="Z_2140268D_DEA7_466F_AE25_EAEFFE2D0081_.wvu.FilterData" localSheetId="0" hidden="1">общее!$A$6:$J$8</definedName>
    <definedName name="Z_21651801_29AF_44DA_B88B_12DD75943577_.wvu.FilterData" localSheetId="0" hidden="1">общее!$A$8:$J$454</definedName>
    <definedName name="Z_221AFC77_C97B_4D44_8163_7AA758A08BF9_.wvu.FilterData" localSheetId="0" hidden="1">общее!$A$8:$J$378</definedName>
    <definedName name="Z_221AFC77_C97B_4D44_8163_7AA758A08BF9_.wvu.PrintArea" localSheetId="0" hidden="1">общее!$A$4:$J$310</definedName>
    <definedName name="Z_221AFC77_C97B_4D44_8163_7AA758A08BF9_.wvu.PrintTitles" localSheetId="0" hidden="1">общее!$8:$8</definedName>
    <definedName name="Z_23143807_1CCE_467D_8F79_FB088A4A08A4_.wvu.FilterData" localSheetId="0" hidden="1">общее!$A$8:$J$556</definedName>
    <definedName name="Z_24F3E475_1A82_464A_A2B9_6272C75DE965_.wvu.FilterData" localSheetId="0" hidden="1">общее!$A$8:$J$556</definedName>
    <definedName name="Z_2627E621_2724_4458_A97A_DA4867CC78C7_.wvu.FilterData" localSheetId="0" hidden="1">общее!$A$8:$J$378</definedName>
    <definedName name="Z_26302507_6225_4D5F_830E_9C0EA681B1F9_.wvu.FilterData" localSheetId="0" hidden="1">общее!$A$8:$J$556</definedName>
    <definedName name="Z_2A0A5548_2EEF_4469_A03C_FA481083CE33_.wvu.FilterData" localSheetId="0" hidden="1">общее!$A$8:$J$454</definedName>
    <definedName name="Z_2A4C0749_63B0_4D48_8771_593E99B870CF_.wvu.FilterData" localSheetId="0" hidden="1">общее!$A$8:$J$454</definedName>
    <definedName name="Z_2A873CA7_D1CE_4F50_B607_3E6930776CDE_.wvu.FilterData" localSheetId="0" hidden="1">общее!$A$8:$J$378</definedName>
    <definedName name="Z_2C16AC7D_1F05_4386_90A0_A2DA4836DDE1_.wvu.FilterData" localSheetId="0" hidden="1">общее!$A$8:$J$378</definedName>
    <definedName name="Z_2C18B72E_FABC_405E_9989_871873679CB9_.wvu.FilterData" localSheetId="0" hidden="1">общее!$A$8:$J$556</definedName>
    <definedName name="Z_2D1F835C_2905_49B2_ACB0_6B5DC39ABF77_.wvu.FilterData" localSheetId="0" hidden="1">общее!$A$8:$J$556</definedName>
    <definedName name="Z_2DB33E37_AA0F_4B4B_B7C9_A11BA792B878_.wvu.FilterData" localSheetId="0" hidden="1">общее!$A$6:$J$8</definedName>
    <definedName name="Z_2E403391_C63C_4844_B760_535E5B14235D_.wvu.FilterData" localSheetId="0" hidden="1">общее!$A$8:$J$378</definedName>
    <definedName name="Z_2EA6131F_89B6_4FC5_8D3F_2E657C0F9729_.wvu.FilterData" localSheetId="0" hidden="1">общее!$A$8:$J$378</definedName>
    <definedName name="Z_3054E370_5DE4_4F07_9AEC_8E1396CAD8D6_.wvu.FilterData" localSheetId="0" hidden="1">общее!$A$8:$J$454</definedName>
    <definedName name="Z_30EAEA67_9656_4874_9B82_0AE83C45AB26_.wvu.FilterData" localSheetId="0" hidden="1">общее!$A$8:$J$454</definedName>
    <definedName name="Z_315252D1_A60E_4446_B1ED_7AE241C4BB71_.wvu.FilterData" localSheetId="0" hidden="1">общее!$A$8:$J$454</definedName>
    <definedName name="Z_322077ED_714E_4730_9121_953073B8C43F_.wvu.FilterData" localSheetId="0" hidden="1">общее!$A$8:$J$321</definedName>
    <definedName name="Z_33313D92_ACCC_472C_8066_C92558BED64F_.wvu.FilterData" localSheetId="0" hidden="1">общее!$A$8:$J$454</definedName>
    <definedName name="Z_33FCD28F_F474_4478_8228_BBE6129DFD33_.wvu.FilterData" localSheetId="0" hidden="1">общее!$A$8:$J$454</definedName>
    <definedName name="Z_36602011_6F80_4B7E_9881_FDB5866DE132_.wvu.FilterData" localSheetId="0" hidden="1">общее!$A$8:$J$556</definedName>
    <definedName name="Z_3824CD03_2F75_4531_8348_997F8B6518CE_.wvu.FilterData" localSheetId="0" hidden="1">общее!$A$8:$J$378</definedName>
    <definedName name="Z_3882A51E_FD17_4C10_93F2_F0C9B03BC730_.wvu.FilterData" localSheetId="0" hidden="1">общее!$A$8:$J$378</definedName>
    <definedName name="Z_39B9868C_0524_4A04_B50B_22CB89138F2C_.wvu.FilterData" localSheetId="0" hidden="1">общее!$A$8:$J$378</definedName>
    <definedName name="Z_3A3D386F_BF44_4CDF_AECB_A030233CF3BE_.wvu.FilterData" localSheetId="0" hidden="1">общее!$A$8:$J$556</definedName>
    <definedName name="Z_3B5575E9_696E_4E1F_8BBE_8483CF318052_.wvu.FilterData" localSheetId="0" hidden="1">общее!$A$6:$J$8</definedName>
    <definedName name="Z_3B5575E9_696E_4E1F_8BBE_8483CF318052_.wvu.PrintArea" localSheetId="0" hidden="1">общее!$A$4:$J$310</definedName>
    <definedName name="Z_3B5575E9_696E_4E1F_8BBE_8483CF318052_.wvu.PrintTitles" localSheetId="0" hidden="1">общее!$8:$8</definedName>
    <definedName name="Z_3F669C1C_24D3_4C3D_9A16_6C0219D100D3_.wvu.FilterData" localSheetId="0" hidden="1">общее!$A$6:$J$8</definedName>
    <definedName name="Z_40F66B3F_B1A0_4660_B7EC_2C8F1BD66B34_.wvu.FilterData" localSheetId="0" hidden="1">общее!$A$8:$J$454</definedName>
    <definedName name="Z_429899D9_5B00_46A4_8670_9042E5D6B3B9_.wvu.FilterData" localSheetId="0" hidden="1">общее!$A$8:$J$454</definedName>
    <definedName name="Z_429AA136_6142_4A99_977B_8067300179C4_.wvu.FilterData" localSheetId="0" hidden="1">общее!$A$8:$J$454</definedName>
    <definedName name="Z_43369FCC_2CCA_4665_99C7_275B440DE937_.wvu.FilterData" localSheetId="0" hidden="1">общее!$A$8:$J$378</definedName>
    <definedName name="Z_452C56A1_7A56_4ADE_A5CF_E260228787E3_.wvu.FilterData" localSheetId="0" hidden="1">общее!$A$6:$J$8</definedName>
    <definedName name="Z_452C56A1_7A56_4ADE_A5CF_E260228787E3_.wvu.PrintArea" localSheetId="0" hidden="1">общее!$A$4:$J$310</definedName>
    <definedName name="Z_452C56A1_7A56_4ADE_A5CF_E260228787E3_.wvu.PrintTitles" localSheetId="0" hidden="1">общее!$8:$8</definedName>
    <definedName name="Z_471079C8_6E8B_4088_8968_A7D0C5B8653D_.wvu.FilterData" localSheetId="0" hidden="1">общее!$A$8:$J$556</definedName>
    <definedName name="Z_47250A82_9F08_48A3_99F5_B1354F557BF5_.wvu.FilterData" localSheetId="0" hidden="1">общее!$A$8:$J$378</definedName>
    <definedName name="Z_48783A06_63D3_427A_A6E9_9592F9D916F6_.wvu.FilterData" localSheetId="0" hidden="1">общее!$A$8:$J$378</definedName>
    <definedName name="Z_4910244A_FD97_43F8_8121_7A39DEE7F6C3_.wvu.FilterData" localSheetId="0" hidden="1">общее!$A$8:$J$378</definedName>
    <definedName name="Z_495617EB_A9DC_44E1_A455_3D0079645590_.wvu.FilterData" localSheetId="0" hidden="1">общее!$A$8:$J$454</definedName>
    <definedName name="Z_4C9A721B_C5BE_4E52_A18E_0730E1D3B8FE_.wvu.FilterData" localSheetId="0" hidden="1">общее!$A$8:$J$454</definedName>
    <definedName name="Z_4CD9C922_19B5_419E_BD84_E209894B16C0_.wvu.FilterData" localSheetId="0" hidden="1">общее!$A$8:$J$454</definedName>
    <definedName name="Z_505D733E_455F_46B4_ACCC_4F218E555D81_.wvu.FilterData" localSheetId="0" hidden="1">общее!$A$8:$J$556</definedName>
    <definedName name="Z_5152B790_6528_48A7_ACFA_991FA35A233D_.wvu.FilterData" localSheetId="0" hidden="1">общее!$A$8:$J$378</definedName>
    <definedName name="Z_527D5B17_7578_4A0E_8233_A8DD6DE458C2_.wvu.FilterData" localSheetId="0" hidden="1">общее!$A$8:$J$454</definedName>
    <definedName name="Z_53234816_0120_4392_94AB_599CEA5C30B9_.wvu.FilterData" localSheetId="0" hidden="1">общее!$A$8:$J$556</definedName>
    <definedName name="Z_5512C256_B576_4E26_8E01_289925B9D9C4_.wvu.FilterData" localSheetId="0" hidden="1">общее!$A$6:$J$8</definedName>
    <definedName name="Z_57216EB5_F285_4D3D_8804_F4C1447258E5_.wvu.FilterData" localSheetId="0" hidden="1">общее!$A$8:$J$454</definedName>
    <definedName name="Z_59F9E859_7DBE_4B96_A969_63ADA1E07BFE_.wvu.FilterData" localSheetId="0" hidden="1">общее!$A$8:$J$378</definedName>
    <definedName name="Z_5A17F74F_9F13_46B8_8433_8D22469D4185_.wvu.FilterData" localSheetId="0" hidden="1">общее!$A$8:$J$556</definedName>
    <definedName name="Z_5D9BE3B7_C618_47DB_8F0E_D1DDB1705E6B_.wvu.FilterData" localSheetId="0" hidden="1">общее!$A$6:$J$8</definedName>
    <definedName name="Z_5EEB5DC5_097B_47D6_81BA_F19E1000B57E_.wvu.FilterData" localSheetId="0" hidden="1">общее!$A$8:$J$454</definedName>
    <definedName name="Z_5EEB5DC5_097B_47D6_81BA_F19E1000B57E_.wvu.PrintArea" localSheetId="0" hidden="1">общее!$A$4:$J$310</definedName>
    <definedName name="Z_5EEB5DC5_097B_47D6_81BA_F19E1000B57E_.wvu.PrintTitles" localSheetId="0" hidden="1">общее!$8:$8</definedName>
    <definedName name="Z_60012CAC_965D_4CFC_93A4_5CCD711B12F0_.wvu.FilterData" localSheetId="0" hidden="1">общее!$A$6:$J$8</definedName>
    <definedName name="Z_6149D971_6896_4099_83EB_61159C951281_.wvu.FilterData" localSheetId="0" hidden="1">общее!$A$8:$J$454</definedName>
    <definedName name="Z_65CADE76_9E13_43BF_B11F_E308EC288263_.wvu.FilterData" localSheetId="0" hidden="1">общее!$A$8:$J$454</definedName>
    <definedName name="Z_675C859F_867B_4E3E_8283_3B2C94BFA5E5_.wvu.FilterData" localSheetId="0" hidden="1">общее!$A$8:$J$378</definedName>
    <definedName name="Z_68CBFC64_03A4_4F74_B34E_EE1DB915A668_.wvu.FilterData" localSheetId="0" hidden="1">общее!$A$8:$J$378</definedName>
    <definedName name="Z_6A002B8B_DF15_47FE_8548_D0F88EB4EB77_.wvu.FilterData" localSheetId="0" hidden="1">общее!$A$8:$J$378</definedName>
    <definedName name="Z_6AE5F3A0_C632_4594_A73E_9DFBAB3F48DD_.wvu.FilterData" localSheetId="0" hidden="1">общее!$A$8:$J$378</definedName>
    <definedName name="Z_6DB878EC_F0AA_4EE0_8DBD_0D2F2413D073_.wvu.FilterData" localSheetId="0" hidden="1">общее!$A$8:$J$454</definedName>
    <definedName name="Z_7012C998_533E_4EDC_995F_53A252D8A143_.wvu.FilterData" localSheetId="0" hidden="1">общее!$A$8:$J$378</definedName>
    <definedName name="Z_713A662A_DFDD_43FB_A56E_1E210432D89D_.wvu.FilterData" localSheetId="0" hidden="1">общее!$A$8:$J$378</definedName>
    <definedName name="Z_716F213C_8FDB_4E7E_934B_B03987478AAA_.wvu.FilterData" localSheetId="0" hidden="1">общее!$A$8:$J$378</definedName>
    <definedName name="Z_72615B4A_0666_48DC_B3A0_332799C5347B_.wvu.FilterData" localSheetId="0" hidden="1">общее!$A$6:$J$8</definedName>
    <definedName name="Z_72EDDA2C_BFF2_4D48_A13B_2B9C46213374_.wvu.FilterData" localSheetId="0" hidden="1">общее!$A$8:$J$454</definedName>
    <definedName name="Z_743F23AC_8B5C_40B6_9ADD_B2B54B0B36A7_.wvu.FilterData" localSheetId="0" hidden="1">общее!$A$8:$J$454</definedName>
    <definedName name="Z_746B9BA0_2CAB_416E_B194_EC52DB1EC742_.wvu.FilterData" localSheetId="0" hidden="1">общее!$A$8:$J$454</definedName>
    <definedName name="Z_768BA9CF_2122_41A7_8903_ECE3A54B69F8_.wvu.FilterData" localSheetId="0" hidden="1">общее!$A$8:$J$556</definedName>
    <definedName name="Z_78D70EA8_5249_4DAA_AE4A_2D8FFFD697D9_.wvu.FilterData" localSheetId="0" hidden="1">общее!$A$8:$J$454</definedName>
    <definedName name="Z_795D5ECF_BF90_4F3E_A74E_B1A55C8421F2_.wvu.FilterData" localSheetId="0" hidden="1">общее!$A$8:$J$454</definedName>
    <definedName name="Z_7A2B4F7E_E736_4CE4_ACAF_AB2E1CDC2BED_.wvu.FilterData" localSheetId="0" hidden="1">общее!$A$8:$J$378</definedName>
    <definedName name="Z_7A936B14_3168_4319_80EC_9AB0E1E51913_.wvu.FilterData" localSheetId="0" hidden="1">общее!$A$8:$J$454</definedName>
    <definedName name="Z_7C69758B_CDC9_4874_B714_8DA98D7197DD_.wvu.FilterData" localSheetId="0" hidden="1">общее!$A$8:$J$454</definedName>
    <definedName name="Z_7C74E095_428E_48E8_A71D_0600250A46E8_.wvu.FilterData" localSheetId="0" hidden="1">общее!$A$8:$J$378</definedName>
    <definedName name="Z_7E83462C_2646_43F5_BA25_2D4B100EBEB1_.wvu.FilterData" localSheetId="0" hidden="1">общее!$A$8:$J$378</definedName>
    <definedName name="Z_7EDDA008_F905_436E_A980_951BDACDA577_.wvu.FilterData" localSheetId="0" hidden="1">общее!$A$6:$J$8</definedName>
    <definedName name="Z_7F2FA179_7E75_4D04_9C08_383F9EAE36E4_.wvu.FilterData" localSheetId="0" hidden="1">общее!$A$8:$J$454</definedName>
    <definedName name="Z_7F311C52_3815_4334_BC86_EFE1D9CF838D_.wvu.FilterData" localSheetId="0" hidden="1">общее!$A$8:$J$321</definedName>
    <definedName name="Z_81AB0083_9AC8_46E5_8989_3683179BE2CD_.wvu.FilterData" localSheetId="0" hidden="1">общее!$A$8:$J$378</definedName>
    <definedName name="Z_82778C3B_E039_40FB_9D6E_6C955809D3AF_.wvu.FilterData" localSheetId="0" hidden="1">общее!$A$8:$J$454</definedName>
    <definedName name="Z_82F7123C_C030_4534_8B46_822C4EBC62EC_.wvu.FilterData" localSheetId="0" hidden="1">общее!$A$8:$J$556</definedName>
    <definedName name="Z_82F7E495_211B_4D53_B382_DE1C7FAF3376_.wvu.FilterData" localSheetId="0" hidden="1">общее!$A$8:$J$556</definedName>
    <definedName name="Z_84AB9039_6109_4932_AA14_522BD4A30F0B_.wvu.FilterData" localSheetId="0" hidden="1">общее!$A$8:$J$378</definedName>
    <definedName name="Z_85BFB728_94F1_4323_ACC8_9456F845AE11_.wvu.FilterData" localSheetId="0" hidden="1">общее!$A$8:$J$454</definedName>
    <definedName name="Z_85CA5D27_9304_4004_A8E8_6687AFFCC00A_.wvu.FilterData" localSheetId="0" hidden="1">общее!$A$8:$J$378</definedName>
    <definedName name="Z_868786DC_4C96_45F5_A272_3E03D4B934A0_.wvu.FilterData" localSheetId="0" hidden="1">общее!$A$8:$J$556</definedName>
    <definedName name="Z_8712F0EA_8AFD_45F0_99A0_31E181367C18_.wvu.FilterData" localSheetId="0" hidden="1">общее!$A$6:$J$8</definedName>
    <definedName name="Z_87307EED_7277_4B82_83B9_FD6EFB33210A_.wvu.FilterData" localSheetId="0" hidden="1">общее!$A$8:$J$454</definedName>
    <definedName name="Z_8AD8908B_5409_470D_AEE7_01A535707576_.wvu.FilterData" localSheetId="0" hidden="1">общее!$A$8:$J$378</definedName>
    <definedName name="Z_8BA1F70D_2590_40B0_8F4D_CC37D4F962D2_.wvu.FilterData" localSheetId="0" hidden="1">общее!$A$8:$J$454</definedName>
    <definedName name="Z_8DA01475_C6A0_4A19_B7EB_B1C704431492_.wvu.FilterData" localSheetId="0" hidden="1">общее!$A$8:$J$378</definedName>
    <definedName name="Z_8E60DEEE_B29D_4EEA_B25A_DB1975B13507_.wvu.FilterData" localSheetId="0" hidden="1">общее!$A$8:$J$556</definedName>
    <definedName name="Z_8F5BBF1A_FC79_4BB3_97F0_50B619130E26_.wvu.FilterData" localSheetId="0" hidden="1">общее!$A$8:$J$378</definedName>
    <definedName name="Z_8FB1E024_9866_4CAD_B900_0CCFEA27B234_.wvu.FilterData" localSheetId="0" hidden="1">общее!$A$8:$J$378</definedName>
    <definedName name="Z_8FB1E024_9866_4CAD_B900_0CCFEA27B234_.wvu.PrintArea" localSheetId="0" hidden="1">общее!$A$4:$J$310</definedName>
    <definedName name="Z_8FB1E024_9866_4CAD_B900_0CCFEA27B234_.wvu.PrintTitles" localSheetId="0" hidden="1">общее!$8:$8</definedName>
    <definedName name="Z_90104242_D578_485A_91E2_ACB42B11755F_.wvu.FilterData" localSheetId="0" hidden="1">общее!$A$8:$J$454</definedName>
    <definedName name="Z_90518B97_7307_4173_A97E_975285B914B1_.wvu.FilterData" localSheetId="0" hidden="1">общее!$A$8:$J$378</definedName>
    <definedName name="Z_925CFE27_E1C6_48F7_AA2E_4E47C240CFE1_.wvu.FilterData" localSheetId="0" hidden="1">общее!$A$8:$J$378</definedName>
    <definedName name="Z_93443DB4_16CC_4115_8132_074F13427393_.wvu.FilterData" localSheetId="0" hidden="1">общее!$A$8:$J$321</definedName>
    <definedName name="Z_93A13551_3E8E_4065_89A7_310AA9E7AE54_.wvu.FilterData" localSheetId="0" hidden="1">общее!$A$8:$J$454</definedName>
    <definedName name="Z_94F9C593_9DE2_4EC4_AFA3_39D38CF2BB33_.wvu.FilterData" localSheetId="0" hidden="1">общее!$A$8:$J$321</definedName>
    <definedName name="Z_95A7493F_2B11_406A_BB91_458FD9DC3BAE_.wvu.FilterData" localSheetId="0" hidden="1">общее!$A$8:$J$378</definedName>
    <definedName name="Z_95A7493F_2B11_406A_BB91_458FD9DC3BAE_.wvu.PrintArea" localSheetId="0" hidden="1">общее!$A$4:$J$310</definedName>
    <definedName name="Z_95A7493F_2B11_406A_BB91_458FD9DC3BAE_.wvu.PrintTitles" localSheetId="0" hidden="1">общее!$8:$8</definedName>
    <definedName name="Z_966D3932_E429_4C59_AC55_697D9EEA620A_.wvu.FilterData" localSheetId="0" hidden="1">общее!$A$8:$J$378</definedName>
    <definedName name="Z_966D3932_E429_4C59_AC55_697D9EEA620A_.wvu.PrintArea" localSheetId="0" hidden="1">общее!$A$4:$J$319</definedName>
    <definedName name="Z_966D3932_E429_4C59_AC55_697D9EEA620A_.wvu.PrintTitles" localSheetId="0" hidden="1">общее!$8:$8</definedName>
    <definedName name="Z_967F1A8A_48DD_4277_A863_3849576B72D0_.wvu.FilterData" localSheetId="0" hidden="1">общее!$A$8:$J$378</definedName>
    <definedName name="Z_998E5F34_5F22_456C_AF6B_44B849DA5E75_.wvu.FilterData" localSheetId="0" hidden="1">общее!$A$8:$J$321</definedName>
    <definedName name="Z_9BFA17BE_4413_48EA_8DFA_9D7972E1D966_.wvu.FilterData" localSheetId="0" hidden="1">общее!$A$8:$J$378</definedName>
    <definedName name="Z_9DB42EA6_6F33_4055_AFFC_2CB330A83BF6_.wvu.FilterData" localSheetId="0" hidden="1">общее!$A$8:$J$321</definedName>
    <definedName name="Z_9E613866_5B9C_47D7_AFA4_58928D3C6E62_.wvu.FilterData" localSheetId="0" hidden="1">общее!$A$8:$J$378</definedName>
    <definedName name="Z_9EB09BA5_1A06_464B_9D4E_3EF1374F6659_.wvu.FilterData" localSheetId="0" hidden="1">общее!$A$8:$J$321</definedName>
    <definedName name="Z_9FE2B88C_FF56_4DEE_8B84_1ADFBBB1D084_.wvu.FilterData" localSheetId="0" hidden="1">общее!$A$8:$J$556</definedName>
    <definedName name="Z_A274E916_0616_4798_8975_3911D43C14F5_.wvu.FilterData" localSheetId="0" hidden="1">общее!$A$8:$J$454</definedName>
    <definedName name="Z_A330E7CE_1B63_4807_AC38_5251AE03B568_.wvu.FilterData" localSheetId="0" hidden="1">общее!$A$8:$J$556</definedName>
    <definedName name="Z_A5BD67D1_5F1C_472E_9385_9177CF38402F_.wvu.FilterData" localSheetId="0" hidden="1">общее!$A$8:$J$378</definedName>
    <definedName name="Z_A600D8D5_C13F_49F2_9D2C_FC8EA32AC551_.wvu.FilterData" localSheetId="0" hidden="1">общее!$A$8:$J$556</definedName>
    <definedName name="Z_A600D8D5_C13F_49F2_9D2C_FC8EA32AC551_.wvu.PrintTitles" localSheetId="0" hidden="1">общее!$8:$8</definedName>
    <definedName name="Z_A75085A3_4AC1_49B5_8DC1_19942A878723_.wvu.FilterData" localSheetId="0" hidden="1">общее!$A$8:$J$454</definedName>
    <definedName name="Z_A9CB6613_36BA_46BF_9FA8_AEAB37393612_.wvu.FilterData" localSheetId="0" hidden="1">общее!$A$8:$J$378</definedName>
    <definedName name="Z_AA3BE0DE_1363_4DDA_934E_FD9CAE988533_.wvu.FilterData" localSheetId="0" hidden="1">общее!$A$8:$J$454</definedName>
    <definedName name="Z_AA5DB17E_D4B9_49C8_96A5_D22053C6C5B1_.wvu.FilterData" localSheetId="0" hidden="1">общее!$A$8:$J$378</definedName>
    <definedName name="Z_ACBA7AB7_E5BF_4817_ACF6_DA5FB388AD46_.wvu.FilterData" localSheetId="0" hidden="1">общее!$A$8:$J$454</definedName>
    <definedName name="Z_AEABEE2C_6038_47D9_81A7_15110E43218C_.wvu.FilterData" localSheetId="0" hidden="1">общее!$A$8:$J$454</definedName>
    <definedName name="Z_B0CF427B_E64B_46A6_97A4_9B49090FE4BE_.wvu.FilterData" localSheetId="0" hidden="1">общее!$A$8:$J$454</definedName>
    <definedName name="Z_B2319D0F_B5B7_4B85_B31D_3FEB7916998F_.wvu.FilterData" localSheetId="0" hidden="1">общее!$A$8:$J$556</definedName>
    <definedName name="Z_B4997D58_BD25_4440_9383_3C887D277BCF_.wvu.FilterData" localSheetId="0" hidden="1">общее!$A$8:$J$454</definedName>
    <definedName name="Z_B55746B5_6CDF_443B_8C7F_8F8A1DC5562E_.wvu.FilterData" localSheetId="0" hidden="1">общее!$A$8:$J$556</definedName>
    <definedName name="Z_B607774B_B68E_4DBE_B4D4_274DD101B3B3_.wvu.FilterData" localSheetId="0" hidden="1">общее!$A$6:$J$8</definedName>
    <definedName name="Z_B637BC8F_E49F_4D36_BA7E_87587BAEF462_.wvu.FilterData" localSheetId="0" hidden="1">общее!$A$8:$J$454</definedName>
    <definedName name="Z_B8AC68F9_618C_4990_B101_9BD7FB1FCD22_.wvu.FilterData" localSheetId="0" hidden="1">общее!$A$6:$J$8</definedName>
    <definedName name="Z_B9D2896B_3D46_4E80_A333_D35EE8923B5F_.wvu.FilterData" localSheetId="0" hidden="1">общее!$A$8:$J$378</definedName>
    <definedName name="Z_BA1D743D_8CD7_4C01_B0E4_1729D2189C73_.wvu.FilterData" localSheetId="0" hidden="1">общее!$A$8:$J$378</definedName>
    <definedName name="Z_BB4DF29A_3635_4350_9E09_BBEF363FC239_.wvu.FilterData" localSheetId="0" hidden="1">общее!$A$6:$J$8</definedName>
    <definedName name="Z_BC4BF63E_98F8_4CE0_B0DE_A2A71C291EFE_.wvu.FilterData" localSheetId="0" hidden="1">общее!$A$8:$J$378</definedName>
    <definedName name="Z_BE1C4A44_01B5_4ECE_8D55_C71095D37032_.wvu.FilterData" localSheetId="0" hidden="1">общее!$A$8:$J$378</definedName>
    <definedName name="Z_BED4F540_47A7_459B_8414_21EF84302EA3_.wvu.FilterData" localSheetId="0" hidden="1">общее!$A$8:$J$454</definedName>
    <definedName name="Z_BF36043A_AFA1_4ED6_B54F_F4173C55E31C_.wvu.FilterData" localSheetId="0" hidden="1">общее!$A$8:$J$454</definedName>
    <definedName name="Z_BF57B08F_2B48_4EE9_9ADD_06D6906608C1_.wvu.FilterData" localSheetId="0" hidden="1">общее!$A$8:$J$556</definedName>
    <definedName name="Z_C105019C_D493_4AF2_B08B_98003C4FEF9B_.wvu.FilterData" localSheetId="0" hidden="1">общее!$A$8:$J$454</definedName>
    <definedName name="Z_C172C42A_B6A9_490D_905B_14F6BA2DCBCA_.wvu.FilterData" localSheetId="0" hidden="1">общее!$A$8:$J$378</definedName>
    <definedName name="Z_C32A6808_4BDA_43E4_ACD1_1B0FCC0DA219_.wvu.FilterData" localSheetId="0" hidden="1">общее!$A$8:$J$454</definedName>
    <definedName name="Z_C343756C_7EBC_41EB_89B6_11C31F46AD7D_.wvu.FilterData" localSheetId="0" hidden="1">общее!$A$8:$J$454</definedName>
    <definedName name="Z_C4269454_1D3D_4937_A7DB_6BFDB690E1BF_.wvu.FilterData" localSheetId="0" hidden="1">общее!$A$8:$J$454</definedName>
    <definedName name="Z_C4A91C4C_4FDF_4528_B780_BABD8261F89B_.wvu.FilterData" localSheetId="0" hidden="1">общее!$A$8:$J$321</definedName>
    <definedName name="Z_C5AC499E_0359_4E1F_94CE_578AF2A54734_.wvu.FilterData" localSheetId="0" hidden="1">общее!$A$8:$J$556</definedName>
    <definedName name="Z_C5DD2CEF_6DC9_42B9_B991_658B57CBD712_.wvu.FilterData" localSheetId="0" hidden="1">общее!$A$8:$J$556</definedName>
    <definedName name="Z_C7FD81BD_691B_4A89_96A0_CDABC50081E4_.wvu.FilterData" localSheetId="0" hidden="1">общее!$A$8:$J$454</definedName>
    <definedName name="Z_C8489D43_32B9_4349_973B_9C94F0536721_.wvu.FilterData" localSheetId="0" hidden="1">общее!$A$8:$J$556</definedName>
    <definedName name="Z_C920DB58_DB5D_4286_8169_C2AA2ED89A9A_.wvu.FilterData" localSheetId="0" hidden="1">общее!$A$8:$J$378</definedName>
    <definedName name="Z_CC0A6F72_A956_4FF0_A9CF_B2F133844683_.wvu.FilterData" localSheetId="0" hidden="1">общее!$A$8:$J$454</definedName>
    <definedName name="Z_CF069AD8_C6E4_40EE_85C1_CD44D38BC77F_.wvu.FilterData" localSheetId="0" hidden="1">общее!$A$8:$J$321</definedName>
    <definedName name="Z_CF1EFC15_1276_44E9_B8E0_6069FE1FC094_.wvu.FilterData" localSheetId="0" hidden="1">общее!$A$8:$J$454</definedName>
    <definedName name="Z_CFB0A04F_563D_4D2B_BCD3_ACFCDC70E584_.wvu.FilterData" localSheetId="0" hidden="1">общее!$A$8:$J$378</definedName>
    <definedName name="Z_CFB0A04F_563D_4D2B_BCD3_ACFCDC70E584_.wvu.Rows" localSheetId="0" hidden="1">общее!$9:$117,общее!$119:$131</definedName>
    <definedName name="Z_CFD58EC5_F475_4F0C_8822_861C497EA100_.wvu.FilterData" localSheetId="0" hidden="1">общее!$A$8:$J$378</definedName>
    <definedName name="Z_CFD58EC5_F475_4F0C_8822_861C497EA100_.wvu.PrintArea" localSheetId="0" hidden="1">общее!$A$1:$J$323</definedName>
    <definedName name="Z_CFD58EC5_F475_4F0C_8822_861C497EA100_.wvu.PrintTitles" localSheetId="0" hidden="1">общее!$8:$8</definedName>
    <definedName name="Z_D0621073_25BE_47D7_AC33_51146458D41C_.wvu.FilterData" localSheetId="0" hidden="1">общее!$A$8:$J$378</definedName>
    <definedName name="Z_D10FBD64_4601_40D8_BA69_F0EA6D3ED846_.wvu.FilterData" localSheetId="0" hidden="1">общее!$A$8:$J$378</definedName>
    <definedName name="Z_D14B1F1D_6F0E_49B1_92FB_6E5D79228E22_.wvu.FilterData" localSheetId="0" hidden="1">общее!$A$8:$J$454</definedName>
    <definedName name="Z_D3BF9972_335A_4BF6_985A_3FAFB12859F0_.wvu.FilterData" localSheetId="0" hidden="1">общее!$A$8:$J$378</definedName>
    <definedName name="Z_D3FC038B_D1F5_4CDD_BF89_B0BF2773CD42_.wvu.FilterData" localSheetId="0" hidden="1">общее!$A$6:$J$8</definedName>
    <definedName name="Z_D4E8D1A3_1CF7_4E9F_8E3E_76E99A013BCC_.wvu.FilterData" localSheetId="0" hidden="1">общее!$A$8:$J$454</definedName>
    <definedName name="Z_D5681C61_0984_4C5B_9D67_8EE316AD015C_.wvu.FilterData" localSheetId="0" hidden="1">общее!$A$8:$J$454</definedName>
    <definedName name="Z_D64EF95C_79C4_46AC_AC41_4006BE2579BA_.wvu.FilterData" localSheetId="0" hidden="1">общее!$A$8:$J$454</definedName>
    <definedName name="Z_D6C9B499_8D30_4283_AE2A_B58ABDEBA548_.wvu.FilterData" localSheetId="0" hidden="1">общее!$A$8:$J$556</definedName>
    <definedName name="Z_D99C893A_0D9F_4F69_B1E5_4BCEB72F4291_.wvu.FilterData" localSheetId="0" hidden="1">общее!$A$6:$J$8</definedName>
    <definedName name="Z_DB146771_765B_4EDB_AC76_D56707AD72CF_.wvu.FilterData" localSheetId="0" hidden="1">общее!$A$8:$J$454</definedName>
    <definedName name="Z_DBF8F6A4_7388_4C5F_8609_AD47282385A6_.wvu.FilterData" localSheetId="0" hidden="1">общее!$A$8:$J$556</definedName>
    <definedName name="Z_DE0623D9_75DF_4C41_AF3E_5381C2A8629F_.wvu.FilterData" localSheetId="0" hidden="1">общее!$A$8:$J$454</definedName>
    <definedName name="Z_DFF3F719_2855_42BC_ACEB_8441420613B1_.wvu.FilterData" localSheetId="0" hidden="1">общее!$A$8:$J$378</definedName>
    <definedName name="Z_E147D13D_D04D_431E_888C_5A9AE670FC44_.wvu.FilterData" localSheetId="0" hidden="1">общее!$A$6:$J$8</definedName>
    <definedName name="Z_E147D13D_D04D_431E_888C_5A9AE670FC44_.wvu.PrintTitles" localSheetId="0" hidden="1">общее!$8:$8</definedName>
    <definedName name="Z_E1663454_FD8A_4EB7_8B04_ADE04D736B77_.wvu.FilterData" localSheetId="0" hidden="1">общее!$A$8:$J$454</definedName>
    <definedName name="Z_E3334516_B3FD_45B9_AB64_DFED61082F84_.wvu.FilterData" localSheetId="0" hidden="1">общее!$A$8:$J$454</definedName>
    <definedName name="Z_E3983C1A_AB41_491B_B4D8_ECB97796B009_.wvu.FilterData" localSheetId="0" hidden="1">общее!$A$8:$J$454</definedName>
    <definedName name="Z_E418290D_2076_47BD_8438_6673CF24E35A_.wvu.FilterData" localSheetId="0" hidden="1">общее!$A$8:$J$454</definedName>
    <definedName name="Z_EA8E6D18_68D7_4389_88CB_3C3027AB668A_.wvu.FilterData" localSheetId="0" hidden="1">общее!$A$8:$J$556</definedName>
    <definedName name="Z_ED5AC437_1F65_441E_BBEA_F88D9FEA1BA8_.wvu.FilterData" localSheetId="0" hidden="1">общее!$A$8:$J$378</definedName>
    <definedName name="Z_EE3611DB_BB9A_42C8_98CA_2B323AB8FB7B_.wvu.FilterData" localSheetId="0" hidden="1">общее!$A$8:$J$454</definedName>
    <definedName name="Z_EF32CA8F_131B_41F0_AA31_167807ADE2D4_.wvu.FilterData" localSheetId="0" hidden="1">общее!$A$8:$J$556</definedName>
    <definedName name="Z_EFD63851_2976_4987_8539_F3FE3A991088_.wvu.FilterData" localSheetId="0" hidden="1">общее!$A$8:$J$454</definedName>
    <definedName name="Z_F06ACB63_A424_47E0_8092_CCE891CCD225_.wvu.FilterData" localSheetId="0" hidden="1">общее!$A$6:$J$8</definedName>
    <definedName name="Z_F14D494F_E5E8_4E8F_99A5_E5D0EE7C4CD1_.wvu.FilterData" localSheetId="0" hidden="1">общее!$A$8:$J$378</definedName>
    <definedName name="Z_F35C19AC_1AD8_4B98_9E5C_812DA7490AFD_.wvu.FilterData" localSheetId="0" hidden="1">общее!$A$8:$J$378</definedName>
    <definedName name="Z_F5149A81_C534_4D57_8E28_ACCC96AC9AC3_.wvu.FilterData" localSheetId="0" hidden="1">общее!$A$8:$J$454</definedName>
    <definedName name="Z_F5211A6A_EE37_46DC_9C2C_FBE0CAB7604C_.wvu.FilterData" localSheetId="0" hidden="1">общее!$A$6:$J$8</definedName>
    <definedName name="Z_F6991520_2C3B_4C21_9197_8515F05E79C7_.wvu.FilterData" localSheetId="0" hidden="1">общее!$A$8:$J$454</definedName>
    <definedName name="Z_F73173ED_9D02_4835_8031_F71A7D33ECA6_.wvu.FilterData" localSheetId="0" hidden="1">общее!$A$8:$J$556</definedName>
    <definedName name="Z_F9324F9E_6E0D_484A_B1A6_F87CCAA93894_.wvu.FilterData" localSheetId="0" hidden="1">общее!$A$8:$J$378</definedName>
    <definedName name="Z_F9544812_EB32_433B_BB14_D909670E9E5D_.wvu.FilterData" localSheetId="0" hidden="1">общее!$A$8:$J$378</definedName>
    <definedName name="Z_F9CD2061_D224_494A_B06D_1C81E6930B04_.wvu.FilterData" localSheetId="0" hidden="1">общее!$A$8:$J$321</definedName>
    <definedName name="Z_F9D2B861_A6DF_4E58_9205_20667B07345D_.wvu.FilterData" localSheetId="0" hidden="1">общее!$A$8:$J$454</definedName>
    <definedName name="Z_FA039D92_C83F_438E_BA9D_917452CA1B7F_.wvu.FilterData" localSheetId="0" hidden="1">общее!$A$8:$J$378</definedName>
    <definedName name="Z_FF1C8053_6325_4562_BDE7_81A6D9BCDD2B_.wvu.FilterData" localSheetId="0" hidden="1">общее!$A$8:$J$321</definedName>
    <definedName name="Z_FFB47FFE_A5E4_419A_BD39_DDC70DF4F5D4_.wvu.FilterData" localSheetId="0" hidden="1">общее!$A$8:$J$378</definedName>
    <definedName name="_xlnm.Print_Titles" localSheetId="0">общее!$8:$8</definedName>
    <definedName name="_xlnm.Print_Area" localSheetId="0">общее!$A$1:$J$323</definedName>
  </definedNames>
  <calcPr calcId="124519"/>
  <customWorkbookViews>
    <customWorkbookView name="User416a - Личное представление" guid="{CFD58EC5-F475-4F0C-8822-861C497EA100}" mergeInterval="0" personalView="1" maximized="1" xWindow="1" yWindow="1" windowWidth="1920" windowHeight="850" tabRatio="563" activeSheetId="1"/>
    <customWorkbookView name="User459c - Личное представление" guid="{84AB9039-6109-4932-AA14-522BD4A30F0B}" mergeInterval="0" personalView="1" maximized="1" xWindow="1" yWindow="1" windowWidth="1920" windowHeight="802" activeSheetId="1"/>
    <customWorkbookView name="User_569 - Личное представление" guid="{68CBFC64-03A4-4F74-B34E-EE1DB915A668}" mergeInterval="0" personalView="1" maximized="1" xWindow="1" yWindow="1" windowWidth="1885" windowHeight="801" activeSheetId="1"/>
    <customWorkbookView name="User465d - Личное представление" guid="{D0621073-25BE-47D7-AC33-51146458D41C}" mergeInterval="0" personalView="1" maximized="1" xWindow="1" yWindow="1" windowWidth="1920" windowHeight="850" activeSheetId="1"/>
    <customWorkbookView name="user457c - Личное представление" guid="{221AFC77-C97B-4D44-8163-7AA758A08BF9}" mergeInterval="0" personalView="1" maximized="1" xWindow="1" yWindow="1" windowWidth="1791" windowHeight="802" activeSheetId="1"/>
    <customWorkbookView name="user565f - Личное представление" guid="{713A662A-DFDD-43FB-A56E-1E210432D89D}" mergeInterval="0" personalView="1" maximized="1" xWindow="1" yWindow="1" windowWidth="1920" windowHeight="850" activeSheetId="1"/>
    <customWorkbookView name="User563c - Личное представление" guid="{675C859F-867B-4E3E-8283-3B2C94BFA5E5}" mergeInterval="0" personalView="1" maximized="1" xWindow="1" yWindow="1" windowWidth="1920" windowHeight="802" activeSheetId="1"/>
    <customWorkbookView name="User463d - Личное представление" guid="{F9324F9E-6E0D-484A-B1A6-F87CCAA93894}" mergeInterval="0" personalView="1" maximized="1" xWindow="1" yWindow="1" windowWidth="1920" windowHeight="850" activeSheetId="1"/>
    <customWorkbookView name="User416b - Личное представление" guid="{90518B97-7307-4173-A97E-975285B914B1}" mergeInterval="0" personalView="1" maximized="1" xWindow="1" yWindow="1" windowWidth="1920" windowHeight="850" activeSheetId="1"/>
    <customWorkbookView name="user416c - Личное представление" guid="{966D3932-E429-4C59-AC55-697D9EEA620A}" mergeInterval="0" personalView="1" maximized="1" xWindow="1" yWindow="1" windowWidth="1920" windowHeight="784" activeSheetId="1"/>
    <customWorkbookView name="user465a - Личное представление" guid="{EF32CA8F-131B-41F0-AA31-167807ADE2D4}" mergeInterval="0" personalView="1" maximized="1" xWindow="1" yWindow="1" windowWidth="1916" windowHeight="850" activeSheetId="1"/>
    <customWorkbookView name="User465e - Личное представление" guid="{2C18B72E-FABC-405E-9989-871873679CB9}" mergeInterval="0" personalView="1" maximized="1" xWindow="1" yWindow="1" windowWidth="1920" windowHeight="850" activeSheetId="1"/>
    <customWorkbookView name="User563b - Личное представление" guid="{8112C56A-816E-41B5-AC5C-5C34336EE27C}" mergeInterval="0" personalView="1" maximized="1" xWindow="-9" yWindow="-9" windowWidth="1938" windowHeight="1048" activeSheetId="1"/>
    <customWorkbookView name="User56a - Личное представление" guid="{B0CF427B-E64B-46A6-97A4-9B49090FE4BE}" mergeInterval="0" personalView="1" maximized="1" xWindow="-8" yWindow="-8" windowWidth="1936" windowHeight="1056" activeSheetId="1"/>
    <customWorkbookView name="Microsoft - Личное представление" guid="{72EDDA2C-BFF2-4D48-A13B-2B9C46213374}" mergeInterval="0" personalView="1" maximized="1" xWindow="1" yWindow="1" windowWidth="1366" windowHeight="496" activeSheetId="1"/>
    <customWorkbookView name="Танечка - Особисте подання" guid="{839A87F2-F73A-45C5-ADB8-392A99CC1EFF}" mergeInterval="0" personalView="1" maximized="1" xWindow="-8" yWindow="-8" windowWidth="1936" windowHeight="1056" activeSheetId="1"/>
    <customWorkbookView name="user_451 - Личное представление" guid="{5EEB5DC5-097B-47D6-81BA-F19E1000B57E}" mergeInterval="0" personalView="1" maximized="1" xWindow="-8" yWindow="-8" windowWidth="1936" windowHeight="1056" activeSheetId="1"/>
    <customWorkbookView name="Tanya - Личное представление" guid="{795D5ECF-BF90-4F3E-A74E-B1A55C8421F2}" mergeInterval="0" personalView="1" maximized="1" xWindow="1" yWindow="1" windowWidth="1920" windowHeight="808" activeSheetId="1"/>
    <customWorkbookView name="User_463 - Личное представление" guid="{E147D13D-D04D-431E-888C-5A9AE670FC44}" mergeInterval="0" personalView="1" maximized="1" windowWidth="1276" windowHeight="850" activeSheetId="1"/>
    <customWorkbookView name="Garmash - Личное представление" guid="{3B5575E9-696E-4E1F-8BBE-8483CF318052}" mergeInterval="0" personalView="1" maximized="1" windowWidth="1020" windowHeight="562" activeSheetId="1"/>
    <customWorkbookView name="User416 - Личное представление" guid="{452C56A1-7A56-4ADE-A5CF-E260228787E3}" mergeInterval="0" personalView="1" maximized="1" windowWidth="1020" windowHeight="596" activeSheetId="1"/>
    <customWorkbookView name="user_457 - Личное представление" guid="{7EDDA008-F905-436E-A980-951BDACDA577}" mergeInterval="0" personalView="1" maximized="1" xWindow="1" yWindow="1" windowWidth="1920" windowHeight="753" activeSheetId="1"/>
    <customWorkbookView name="User457c  - Личное представление" guid="{2A0A5548-2EEF-4469-A03C-FA481083CE33}" mergeInterval="0" personalView="1" maximized="1" windowWidth="1020" windowHeight="569" activeSheetId="1"/>
    <customWorkbookView name="user458 - Личное представление" guid="{CC0A6F72-A956-4FF0-A9CF-B2F133844683}" mergeInterval="0" personalView="1" maximized="1" xWindow="1" yWindow="1" windowWidth="1280" windowHeight="453" activeSheetId="1"/>
    <customWorkbookView name="User565 - Личное представление" guid="{B5FF27E5-4C0E-4323-88CE-5D44F441DDEF}" mergeInterval="0" personalView="1" maximized="1" xWindow="1" yWindow="1" windowWidth="1920" windowHeight="829" activeSheetId="1"/>
    <customWorkbookView name="User_455 - Личное представление" guid="{33313D92-ACCC-472C-8066-C92558BED64F}" mergeInterval="0" personalView="1" maximized="1" xWindow="1" yWindow="1" windowWidth="1920" windowHeight="753" activeSheetId="1"/>
    <customWorkbookView name="user415a - Личное представление" guid="{F9D2B861-A6DF-4E58-9205-20667B07345D}" mergeInterval="0" personalView="1" maximized="1" xWindow="1" yWindow="1" windowWidth="1440" windowHeight="633" activeSheetId="1"/>
    <customWorkbookView name="User415b - Личное представление" guid="{0EDC1FFF-2611-4DAC-98A8-22EC25025967}" mergeInterval="0" personalView="1" maximized="1" xWindow="1" yWindow="1" windowWidth="1916" windowHeight="808" activeSheetId="1"/>
    <customWorkbookView name="user416d - Личное представление" guid="{998E5F34-5F22-456C-AF6B-44B849DA5E75}" mergeInterval="0" personalView="1" maximized="1" xWindow="1" yWindow="1" windowWidth="1916" windowHeight="692" activeSheetId="1"/>
    <customWorkbookView name="User465b - Личное представление" guid="{471079C8-6E8B-4088-8968-A7D0C5B8653D}" mergeInterval="0" personalView="1" maximized="1" xWindow="1" yWindow="1" windowWidth="1920" windowHeight="850" activeSheetId="1"/>
    <customWorkbookView name="Use565c - Личное представление" guid="{A600D8D5-C13F-49F2-9D2C-FC8EA32AC551}" mergeInterval="0" personalView="1" maximized="1" xWindow="1" yWindow="1" windowWidth="1920" windowHeight="802" activeSheetId="1"/>
    <customWorkbookView name="user - Личное представление" guid="{868786DC-4C96-45F5-A272-3E03D4B934A0}" mergeInterval="0" personalView="1" maximized="1" xWindow="-8" yWindow="-8" windowWidth="1936" windowHeight="1056" activeSheetId="1"/>
    <customWorkbookView name="User569a - Личное представление" guid="{8FB1E024-9866-4CAD-B900-0CCFEA27B234}" mergeInterval="0" personalView="1" maximized="1" xWindow="1" yWindow="1" windowWidth="1920" windowHeight="850" activeSheetId="1"/>
    <customWorkbookView name="User457d - Личное представление" guid="{0CBA335B-0DD8-471B-913E-91954D8A7DE8}" mergeInterval="0" personalView="1" maximized="1" xWindow="1" yWindow="1" windowWidth="1916" windowHeight="802" activeSheetId="1"/>
    <customWorkbookView name="user457a - Личное представление" guid="{1BDFBE17-25BB-4BB9-B67F-4757B39B2D64}" mergeInterval="0" personalView="1" maximized="1" xWindow="1" yWindow="1" windowWidth="1916" windowHeight="810" activeSheetId="1"/>
    <customWorkbookView name="Танечка - Личное представление" guid="{BE1C4A44-01B5-4ECE-8D55-C71095D37032}" mergeInterval="0" personalView="1" maximized="1" xWindow="1" yWindow="1" windowWidth="1920" windowHeight="850" activeSheetId="1"/>
    <customWorkbookView name="user415c - Личное представление" guid="{3824CD03-2F75-4531-8348-997F8B6518CE}" mergeInterval="0" personalView="1" maximized="1" xWindow="1" yWindow="1" windowWidth="1877" windowHeight="836" activeSheetId="1"/>
    <customWorkbookView name="user563a - Личное представление" guid="{CFB0A04F-563D-4D2B-BCD3-ACFCDC70E584}" mergeInterval="0" personalView="1" maximized="1" xWindow="1" yWindow="1" windowWidth="1846" windowHeight="838" activeSheetId="1"/>
    <customWorkbookView name="User569c - Личное представление" guid="{BC4BF63E-98F8-4CE0-B0DE-A2A71C291EFE}" mergeInterval="0" personalView="1" maximized="1" xWindow="1" yWindow="1" windowWidth="1920" windowHeight="850" activeSheetId="1"/>
    <customWorkbookView name="Яна - Личное представление" guid="{9BFA17BE-4413-48EA-8DFA-9D7972E1D966}" mergeInterval="0" personalView="1" maximized="1" xWindow="1" yWindow="1" windowWidth="1920" windowHeight="850" activeSheetId="1"/>
    <customWorkbookView name="user459b - Личное представление" guid="{FA039D92-C83F-438E-BA9D-917452CA1B7F}" mergeInterval="0" personalView="1" maximized="1" xWindow="1" yWindow="1" windowWidth="1920" windowHeight="850" activeSheetId="1"/>
    <customWorkbookView name="User415 - Личное представление" guid="{06B33669-D909-4CD8-806F-33C009B9DF0A}" mergeInterval="0" personalView="1" maximized="1" xWindow="1" yWindow="1" windowWidth="1920" windowHeight="850" activeSheetId="1"/>
    <customWorkbookView name="user459a - Личное представление" guid="{8DA01475-C6A0-4A19-B7EB-B1C704431492}" mergeInterval="0" personalView="1" maximized="1" xWindow="1" yWindow="1" windowWidth="1904" windowHeight="838" activeSheetId="1"/>
    <customWorkbookView name="user457b - Личное представление" guid="{95A7493F-2B11-406A-BB91-458FD9DC3BAE}" mergeInterval="0" personalView="1" maximized="1" xWindow="1" yWindow="1" windowWidth="1891" windowHeight="695" activeSheetId="1"/>
  </customWorkbookViews>
</workbook>
</file>

<file path=xl/calcChain.xml><?xml version="1.0" encoding="utf-8"?>
<calcChain xmlns="http://schemas.openxmlformats.org/spreadsheetml/2006/main">
  <c r="C306" i="1"/>
  <c r="C301"/>
  <c r="C297"/>
  <c r="C205"/>
  <c r="C165"/>
  <c r="G165"/>
  <c r="C152"/>
  <c r="C118"/>
  <c r="C115"/>
  <c r="I296"/>
  <c r="H296"/>
  <c r="D296"/>
  <c r="G296"/>
  <c r="F298"/>
  <c r="C296" l="1"/>
  <c r="E296" s="1"/>
  <c r="E280"/>
  <c r="G154" l="1"/>
  <c r="G248"/>
  <c r="G216"/>
  <c r="G252"/>
  <c r="G250"/>
  <c r="J250" s="1"/>
  <c r="G249"/>
  <c r="G153"/>
  <c r="G121"/>
  <c r="G119"/>
  <c r="G152" l="1"/>
  <c r="I112" l="1"/>
  <c r="E112"/>
  <c r="F111"/>
  <c r="E111"/>
  <c r="I110"/>
  <c r="I109"/>
  <c r="E108"/>
  <c r="E107"/>
  <c r="E106"/>
  <c r="F105"/>
  <c r="E105"/>
  <c r="E104"/>
  <c r="E103"/>
  <c r="E102"/>
  <c r="E101"/>
  <c r="G100"/>
  <c r="D100"/>
  <c r="C100"/>
  <c r="E99"/>
  <c r="D98"/>
  <c r="E97"/>
  <c r="E96"/>
  <c r="I95"/>
  <c r="E95"/>
  <c r="F94"/>
  <c r="E94"/>
  <c r="E93"/>
  <c r="E92"/>
  <c r="E91"/>
  <c r="G90"/>
  <c r="D90"/>
  <c r="C90"/>
  <c r="E89"/>
  <c r="D88"/>
  <c r="I85"/>
  <c r="I84"/>
  <c r="J83"/>
  <c r="I83"/>
  <c r="I82"/>
  <c r="F81"/>
  <c r="E81"/>
  <c r="E80"/>
  <c r="G79"/>
  <c r="D79"/>
  <c r="C79"/>
  <c r="H78"/>
  <c r="J77"/>
  <c r="I77"/>
  <c r="J76"/>
  <c r="I76"/>
  <c r="J75"/>
  <c r="I75"/>
  <c r="J74"/>
  <c r="I74"/>
  <c r="F73"/>
  <c r="E73"/>
  <c r="J72"/>
  <c r="I72"/>
  <c r="E71"/>
  <c r="I70"/>
  <c r="F69"/>
  <c r="E69"/>
  <c r="H68"/>
  <c r="G68"/>
  <c r="D68"/>
  <c r="C68"/>
  <c r="F66"/>
  <c r="E66"/>
  <c r="E65"/>
  <c r="F64"/>
  <c r="E64"/>
  <c r="D63"/>
  <c r="C63"/>
  <c r="F62"/>
  <c r="E62"/>
  <c r="F61"/>
  <c r="E61"/>
  <c r="F60"/>
  <c r="E60"/>
  <c r="F59"/>
  <c r="E59"/>
  <c r="F58"/>
  <c r="E58"/>
  <c r="D57"/>
  <c r="C57"/>
  <c r="F55"/>
  <c r="E55"/>
  <c r="F54"/>
  <c r="E54"/>
  <c r="F53"/>
  <c r="E53"/>
  <c r="F52"/>
  <c r="E52"/>
  <c r="E51"/>
  <c r="F50"/>
  <c r="E50"/>
  <c r="D49"/>
  <c r="C49"/>
  <c r="J45"/>
  <c r="I45"/>
  <c r="E44"/>
  <c r="F43"/>
  <c r="E43"/>
  <c r="F42"/>
  <c r="E42"/>
  <c r="D41"/>
  <c r="C41"/>
  <c r="F40"/>
  <c r="E40"/>
  <c r="F39"/>
  <c r="E39"/>
  <c r="D38"/>
  <c r="C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D27"/>
  <c r="C27"/>
  <c r="F25"/>
  <c r="E25"/>
  <c r="F24"/>
  <c r="E24"/>
  <c r="D23"/>
  <c r="F22"/>
  <c r="E22"/>
  <c r="D21"/>
  <c r="C21"/>
  <c r="F19"/>
  <c r="E19"/>
  <c r="E18"/>
  <c r="D17"/>
  <c r="C17"/>
  <c r="F16"/>
  <c r="E16"/>
  <c r="F15"/>
  <c r="E15"/>
  <c r="E14"/>
  <c r="F13"/>
  <c r="E13"/>
  <c r="D12"/>
  <c r="C12"/>
  <c r="H10"/>
  <c r="G10"/>
  <c r="I100" l="1"/>
  <c r="C67"/>
  <c r="H67"/>
  <c r="C87"/>
  <c r="F23"/>
  <c r="I90"/>
  <c r="D48"/>
  <c r="E98"/>
  <c r="D67"/>
  <c r="E88"/>
  <c r="C20"/>
  <c r="G67"/>
  <c r="C78"/>
  <c r="C48"/>
  <c r="I79"/>
  <c r="D26"/>
  <c r="F63"/>
  <c r="E12"/>
  <c r="C11"/>
  <c r="C56"/>
  <c r="F100"/>
  <c r="E79"/>
  <c r="G87"/>
  <c r="D56"/>
  <c r="I10"/>
  <c r="C26"/>
  <c r="D11"/>
  <c r="F68"/>
  <c r="F41"/>
  <c r="E57"/>
  <c r="J10"/>
  <c r="F57"/>
  <c r="J68"/>
  <c r="D20"/>
  <c r="F38"/>
  <c r="G78"/>
  <c r="J78" s="1"/>
  <c r="F12"/>
  <c r="F27"/>
  <c r="E90"/>
  <c r="I68"/>
  <c r="E21"/>
  <c r="F90"/>
  <c r="F21"/>
  <c r="E27"/>
  <c r="E38"/>
  <c r="E41"/>
  <c r="F49"/>
  <c r="E63"/>
  <c r="D78"/>
  <c r="E100"/>
  <c r="E23"/>
  <c r="D87"/>
  <c r="E17"/>
  <c r="E49"/>
  <c r="E68"/>
  <c r="I155"/>
  <c r="E234"/>
  <c r="C320"/>
  <c r="F11" l="1"/>
  <c r="E48"/>
  <c r="C10"/>
  <c r="H47"/>
  <c r="J67"/>
  <c r="E67"/>
  <c r="F48"/>
  <c r="D47"/>
  <c r="I67"/>
  <c r="F56"/>
  <c r="F67"/>
  <c r="I78"/>
  <c r="I87"/>
  <c r="E11"/>
  <c r="F26"/>
  <c r="C47"/>
  <c r="G47"/>
  <c r="E56"/>
  <c r="E78"/>
  <c r="E26"/>
  <c r="D10"/>
  <c r="F20"/>
  <c r="E20"/>
  <c r="F87"/>
  <c r="E87"/>
  <c r="I311"/>
  <c r="J314"/>
  <c r="I314"/>
  <c r="J304"/>
  <c r="I304"/>
  <c r="I292"/>
  <c r="J276"/>
  <c r="I276"/>
  <c r="J266"/>
  <c r="I266"/>
  <c r="J259"/>
  <c r="I259"/>
  <c r="J257"/>
  <c r="I257"/>
  <c r="J255"/>
  <c r="I255"/>
  <c r="J254"/>
  <c r="I254"/>
  <c r="J253"/>
  <c r="I253"/>
  <c r="J252"/>
  <c r="I252"/>
  <c r="J251"/>
  <c r="I251"/>
  <c r="J235"/>
  <c r="I235"/>
  <c r="J237"/>
  <c r="I237"/>
  <c r="J226"/>
  <c r="I226"/>
  <c r="I223"/>
  <c r="J220"/>
  <c r="I220"/>
  <c r="J218"/>
  <c r="I218"/>
  <c r="J216"/>
  <c r="I216"/>
  <c r="J210"/>
  <c r="I210"/>
  <c r="J209"/>
  <c r="I209"/>
  <c r="J204"/>
  <c r="I204"/>
  <c r="J203"/>
  <c r="I203"/>
  <c r="J201"/>
  <c r="I201"/>
  <c r="J200"/>
  <c r="I200"/>
  <c r="J199"/>
  <c r="I199"/>
  <c r="J185"/>
  <c r="I185"/>
  <c r="I182"/>
  <c r="J179"/>
  <c r="I179"/>
  <c r="I177"/>
  <c r="J167"/>
  <c r="I167"/>
  <c r="J156"/>
  <c r="I156"/>
  <c r="I154"/>
  <c r="J146"/>
  <c r="J145"/>
  <c r="D294"/>
  <c r="H294"/>
  <c r="G294"/>
  <c r="G291"/>
  <c r="H291"/>
  <c r="D291"/>
  <c r="D289"/>
  <c r="E300"/>
  <c r="E299"/>
  <c r="E295"/>
  <c r="E292"/>
  <c r="E290"/>
  <c r="E284"/>
  <c r="F273"/>
  <c r="E273"/>
  <c r="F270"/>
  <c r="E270"/>
  <c r="F269"/>
  <c r="E269"/>
  <c r="F268"/>
  <c r="E268"/>
  <c r="H221"/>
  <c r="H208"/>
  <c r="H137"/>
  <c r="F321"/>
  <c r="E321"/>
  <c r="I284"/>
  <c r="H281"/>
  <c r="H133"/>
  <c r="H128"/>
  <c r="H120"/>
  <c r="J295"/>
  <c r="I295"/>
  <c r="J293"/>
  <c r="I293"/>
  <c r="E287"/>
  <c r="D281"/>
  <c r="C281"/>
  <c r="D264"/>
  <c r="D262"/>
  <c r="E244"/>
  <c r="E243"/>
  <c r="F241"/>
  <c r="E241"/>
  <c r="D224"/>
  <c r="D236"/>
  <c r="D225"/>
  <c r="D274"/>
  <c r="D219"/>
  <c r="D215"/>
  <c r="D212"/>
  <c r="D221"/>
  <c r="D208"/>
  <c r="F47" l="1"/>
  <c r="J47"/>
  <c r="G86"/>
  <c r="G113" s="1"/>
  <c r="H86"/>
  <c r="H113" s="1"/>
  <c r="F10"/>
  <c r="I47"/>
  <c r="E289"/>
  <c r="E47"/>
  <c r="E10"/>
  <c r="E291"/>
  <c r="H288"/>
  <c r="E294"/>
  <c r="I221"/>
  <c r="G288"/>
  <c r="C86"/>
  <c r="J291"/>
  <c r="D86"/>
  <c r="J294"/>
  <c r="I291"/>
  <c r="I294"/>
  <c r="D288"/>
  <c r="I281"/>
  <c r="F151"/>
  <c r="E151"/>
  <c r="F150"/>
  <c r="E150"/>
  <c r="F149"/>
  <c r="E149"/>
  <c r="F148"/>
  <c r="E148"/>
  <c r="F143"/>
  <c r="E143"/>
  <c r="F142"/>
  <c r="E142"/>
  <c r="F141"/>
  <c r="E141"/>
  <c r="F139"/>
  <c r="E139"/>
  <c r="F138"/>
  <c r="E138"/>
  <c r="F136"/>
  <c r="E136"/>
  <c r="F135"/>
  <c r="E135"/>
  <c r="F134"/>
  <c r="E134"/>
  <c r="F132"/>
  <c r="E132"/>
  <c r="F131"/>
  <c r="E131"/>
  <c r="F130"/>
  <c r="E130"/>
  <c r="F129"/>
  <c r="E129"/>
  <c r="F127"/>
  <c r="E127"/>
  <c r="F126"/>
  <c r="E126"/>
  <c r="F125"/>
  <c r="E125"/>
  <c r="F123"/>
  <c r="E123"/>
  <c r="F122"/>
  <c r="E122"/>
  <c r="F121"/>
  <c r="E121"/>
  <c r="F204"/>
  <c r="E204"/>
  <c r="F203"/>
  <c r="E203"/>
  <c r="F196"/>
  <c r="E196"/>
  <c r="F195"/>
  <c r="E195"/>
  <c r="F193"/>
  <c r="E193"/>
  <c r="F192"/>
  <c r="E192"/>
  <c r="F191"/>
  <c r="E191"/>
  <c r="F189"/>
  <c r="E189"/>
  <c r="F188"/>
  <c r="E188"/>
  <c r="F187"/>
  <c r="E187"/>
  <c r="F185"/>
  <c r="E185"/>
  <c r="F184"/>
  <c r="E184"/>
  <c r="F183"/>
  <c r="E183"/>
  <c r="F182"/>
  <c r="E182"/>
  <c r="F180"/>
  <c r="E180"/>
  <c r="F179"/>
  <c r="E179"/>
  <c r="F177"/>
  <c r="E177"/>
  <c r="F176"/>
  <c r="E176"/>
  <c r="F174"/>
  <c r="E174"/>
  <c r="F173"/>
  <c r="E173"/>
  <c r="F171"/>
  <c r="E171"/>
  <c r="F170"/>
  <c r="E170"/>
  <c r="F169"/>
  <c r="E169"/>
  <c r="F168"/>
  <c r="E168"/>
  <c r="F167"/>
  <c r="E167"/>
  <c r="D181"/>
  <c r="D178"/>
  <c r="D175"/>
  <c r="D166"/>
  <c r="D202"/>
  <c r="D194"/>
  <c r="D190"/>
  <c r="D186"/>
  <c r="D162"/>
  <c r="D157"/>
  <c r="D120"/>
  <c r="D133"/>
  <c r="D124"/>
  <c r="D137"/>
  <c r="D140"/>
  <c r="J86" l="1"/>
  <c r="I86"/>
  <c r="J288"/>
  <c r="I288"/>
  <c r="D113"/>
  <c r="E288"/>
  <c r="C113"/>
  <c r="I113"/>
  <c r="J113"/>
  <c r="E86"/>
  <c r="F86"/>
  <c r="H264"/>
  <c r="G309"/>
  <c r="G303"/>
  <c r="G302"/>
  <c r="G297"/>
  <c r="G285"/>
  <c r="G279"/>
  <c r="G278" s="1"/>
  <c r="G275"/>
  <c r="G264"/>
  <c r="G247"/>
  <c r="G236"/>
  <c r="G230"/>
  <c r="G225" s="1"/>
  <c r="G219"/>
  <c r="G215"/>
  <c r="G208"/>
  <c r="G202"/>
  <c r="G198"/>
  <c r="G181"/>
  <c r="G178"/>
  <c r="G175"/>
  <c r="G166"/>
  <c r="G144"/>
  <c r="G137"/>
  <c r="G133"/>
  <c r="G120"/>
  <c r="G115"/>
  <c r="F263"/>
  <c r="F282"/>
  <c r="C309"/>
  <c r="C303"/>
  <c r="C302"/>
  <c r="C279"/>
  <c r="C278" s="1"/>
  <c r="C274"/>
  <c r="C264"/>
  <c r="C262"/>
  <c r="C245"/>
  <c r="C236"/>
  <c r="C232"/>
  <c r="C224" s="1"/>
  <c r="C225"/>
  <c r="C221"/>
  <c r="C219"/>
  <c r="C215"/>
  <c r="C212"/>
  <c r="C208"/>
  <c r="C202"/>
  <c r="C194"/>
  <c r="C190"/>
  <c r="C186"/>
  <c r="C181"/>
  <c r="C178"/>
  <c r="C175"/>
  <c r="C166"/>
  <c r="C162"/>
  <c r="C159"/>
  <c r="C157"/>
  <c r="C147"/>
  <c r="C144"/>
  <c r="C140"/>
  <c r="C137"/>
  <c r="C133"/>
  <c r="C128"/>
  <c r="C124"/>
  <c r="C120"/>
  <c r="C322"/>
  <c r="J116"/>
  <c r="F117"/>
  <c r="E113" l="1"/>
  <c r="F113"/>
  <c r="E124"/>
  <c r="E175"/>
  <c r="F178"/>
  <c r="F186"/>
  <c r="G118"/>
  <c r="G261"/>
  <c r="E202"/>
  <c r="E133"/>
  <c r="C308"/>
  <c r="E194"/>
  <c r="E140"/>
  <c r="E120"/>
  <c r="E190"/>
  <c r="F137"/>
  <c r="F262"/>
  <c r="E181"/>
  <c r="G308"/>
  <c r="G245"/>
  <c r="G274"/>
  <c r="J275"/>
  <c r="I275"/>
  <c r="G205"/>
  <c r="J208"/>
  <c r="I208"/>
  <c r="C267"/>
  <c r="E274"/>
  <c r="F274"/>
  <c r="I198"/>
  <c r="J198"/>
  <c r="G277"/>
  <c r="E186"/>
  <c r="F175"/>
  <c r="F124"/>
  <c r="F128"/>
  <c r="E128"/>
  <c r="F147"/>
  <c r="E147"/>
  <c r="G211"/>
  <c r="E178"/>
  <c r="F190"/>
  <c r="F133"/>
  <c r="E137"/>
  <c r="F120"/>
  <c r="F181"/>
  <c r="F194"/>
  <c r="C261"/>
  <c r="F140"/>
  <c r="F202"/>
  <c r="G224"/>
  <c r="C211"/>
  <c r="C277"/>
  <c r="H261"/>
  <c r="C315" l="1"/>
  <c r="G267"/>
  <c r="G315"/>
  <c r="C242"/>
  <c r="H274"/>
  <c r="J256"/>
  <c r="J286"/>
  <c r="H236"/>
  <c r="I146"/>
  <c r="I145"/>
  <c r="J144"/>
  <c r="J143"/>
  <c r="I143"/>
  <c r="I138"/>
  <c r="J136"/>
  <c r="I136"/>
  <c r="J134"/>
  <c r="I134"/>
  <c r="J132"/>
  <c r="I132"/>
  <c r="J131"/>
  <c r="I131"/>
  <c r="J123"/>
  <c r="I123"/>
  <c r="J122"/>
  <c r="I122"/>
  <c r="J121"/>
  <c r="I121"/>
  <c r="J119"/>
  <c r="I119"/>
  <c r="F119"/>
  <c r="E119"/>
  <c r="G242" l="1"/>
  <c r="G301"/>
  <c r="J274"/>
  <c r="I274"/>
  <c r="J236"/>
  <c r="I236"/>
  <c r="I133"/>
  <c r="H118"/>
  <c r="I120"/>
  <c r="D118"/>
  <c r="J120"/>
  <c r="I137"/>
  <c r="J133"/>
  <c r="I144"/>
  <c r="G306" l="1"/>
  <c r="E118"/>
  <c r="I118"/>
  <c r="F118"/>
  <c r="J118"/>
  <c r="H202" l="1"/>
  <c r="H181"/>
  <c r="H178"/>
  <c r="I176"/>
  <c r="H175"/>
  <c r="H166"/>
  <c r="J238"/>
  <c r="I238"/>
  <c r="H309"/>
  <c r="J313"/>
  <c r="I313"/>
  <c r="I299"/>
  <c r="F304"/>
  <c r="E304"/>
  <c r="E298"/>
  <c r="H297"/>
  <c r="I178" l="1"/>
  <c r="J178"/>
  <c r="J181"/>
  <c r="I181"/>
  <c r="J202"/>
  <c r="I202"/>
  <c r="H165"/>
  <c r="D165"/>
  <c r="E166"/>
  <c r="I166"/>
  <c r="I175"/>
  <c r="F166"/>
  <c r="J166"/>
  <c r="F225"/>
  <c r="E225"/>
  <c r="J270"/>
  <c r="F222"/>
  <c r="F213"/>
  <c r="D320"/>
  <c r="F259"/>
  <c r="J207"/>
  <c r="F320" l="1"/>
  <c r="E320"/>
  <c r="J165"/>
  <c r="I165"/>
  <c r="D322"/>
  <c r="E165"/>
  <c r="F165"/>
  <c r="J265"/>
  <c r="J241"/>
  <c r="F214"/>
  <c r="F322" l="1"/>
  <c r="E322"/>
  <c r="H278"/>
  <c r="I270"/>
  <c r="I256"/>
  <c r="E259"/>
  <c r="D245"/>
  <c r="E245" l="1"/>
  <c r="F245"/>
  <c r="J231"/>
  <c r="I231"/>
  <c r="J230" l="1"/>
  <c r="H225"/>
  <c r="I230"/>
  <c r="H285"/>
  <c r="J249"/>
  <c r="J246"/>
  <c r="H277" l="1"/>
  <c r="J225"/>
  <c r="I225"/>
  <c r="F276"/>
  <c r="H247"/>
  <c r="H245" l="1"/>
  <c r="D205"/>
  <c r="E276"/>
  <c r="J248"/>
  <c r="I272"/>
  <c r="F239" l="1"/>
  <c r="F233"/>
  <c r="F232"/>
  <c r="F231"/>
  <c r="F230"/>
  <c r="F229"/>
  <c r="F283"/>
  <c r="E116" l="1"/>
  <c r="J232" l="1"/>
  <c r="I241"/>
  <c r="F236" l="1"/>
  <c r="J264" l="1"/>
  <c r="E117"/>
  <c r="D115"/>
  <c r="E230"/>
  <c r="H224" l="1"/>
  <c r="J224" l="1"/>
  <c r="I224"/>
  <c r="E153"/>
  <c r="J247" l="1"/>
  <c r="H308"/>
  <c r="D309"/>
  <c r="J305"/>
  <c r="H115"/>
  <c r="F116"/>
  <c r="I116"/>
  <c r="J206"/>
  <c r="J115" l="1"/>
  <c r="D308"/>
  <c r="H315"/>
  <c r="F115"/>
  <c r="E115"/>
  <c r="I115"/>
  <c r="D315" l="1"/>
  <c r="J245"/>
  <c r="I250" l="1"/>
  <c r="F164" l="1"/>
  <c r="E164"/>
  <c r="F160"/>
  <c r="E160"/>
  <c r="F158"/>
  <c r="E158"/>
  <c r="F156"/>
  <c r="E156"/>
  <c r="F155"/>
  <c r="E155"/>
  <c r="F154"/>
  <c r="E154"/>
  <c r="I153"/>
  <c r="F153"/>
  <c r="F224"/>
  <c r="D297"/>
  <c r="F319"/>
  <c r="F318"/>
  <c r="F226"/>
  <c r="F223"/>
  <c r="F218"/>
  <c r="F217"/>
  <c r="F216"/>
  <c r="F210"/>
  <c r="F209"/>
  <c r="F207"/>
  <c r="F206"/>
  <c r="E297" l="1"/>
  <c r="F297"/>
  <c r="I297"/>
  <c r="J297"/>
  <c r="J308"/>
  <c r="E159"/>
  <c r="E162"/>
  <c r="F157"/>
  <c r="E157"/>
  <c r="F159"/>
  <c r="D152"/>
  <c r="H152"/>
  <c r="F162"/>
  <c r="J309"/>
  <c r="J285" l="1"/>
  <c r="F152"/>
  <c r="E152"/>
  <c r="I152"/>
  <c r="F220"/>
  <c r="I286"/>
  <c r="I285"/>
  <c r="E282"/>
  <c r="I279"/>
  <c r="I265"/>
  <c r="I246"/>
  <c r="J315" l="1"/>
  <c r="F215" l="1"/>
  <c r="E206" l="1"/>
  <c r="I206"/>
  <c r="E207"/>
  <c r="I207"/>
  <c r="E209"/>
  <c r="E210"/>
  <c r="E213"/>
  <c r="E214"/>
  <c r="H215"/>
  <c r="E216"/>
  <c r="E217"/>
  <c r="E218"/>
  <c r="H219"/>
  <c r="E220"/>
  <c r="E222"/>
  <c r="E223"/>
  <c r="E226"/>
  <c r="E229"/>
  <c r="E231"/>
  <c r="E232"/>
  <c r="I232"/>
  <c r="E233"/>
  <c r="E239"/>
  <c r="I247"/>
  <c r="I248"/>
  <c r="I249"/>
  <c r="E262"/>
  <c r="E263"/>
  <c r="E265"/>
  <c r="H267"/>
  <c r="D267"/>
  <c r="D278"/>
  <c r="E279"/>
  <c r="E283"/>
  <c r="D302"/>
  <c r="H302"/>
  <c r="D303"/>
  <c r="H303"/>
  <c r="I305"/>
  <c r="E308"/>
  <c r="I308"/>
  <c r="E309"/>
  <c r="I309"/>
  <c r="E313"/>
  <c r="E315"/>
  <c r="I315"/>
  <c r="E318"/>
  <c r="E319"/>
  <c r="E236" l="1"/>
  <c r="D277"/>
  <c r="H242"/>
  <c r="I303"/>
  <c r="J303"/>
  <c r="J302"/>
  <c r="I302"/>
  <c r="J215"/>
  <c r="I215"/>
  <c r="J219"/>
  <c r="F221"/>
  <c r="F212"/>
  <c r="F303"/>
  <c r="F219"/>
  <c r="F302"/>
  <c r="E267"/>
  <c r="F208"/>
  <c r="H205"/>
  <c r="I264"/>
  <c r="I278"/>
  <c r="I267"/>
  <c r="I245"/>
  <c r="E281"/>
  <c r="D211"/>
  <c r="E278"/>
  <c r="E219"/>
  <c r="I219"/>
  <c r="H211"/>
  <c r="E302"/>
  <c r="E212"/>
  <c r="E303"/>
  <c r="E221"/>
  <c r="D261"/>
  <c r="E264"/>
  <c r="E215"/>
  <c r="E208"/>
  <c r="F296" l="1"/>
  <c r="J296"/>
  <c r="I242"/>
  <c r="D242"/>
  <c r="J242"/>
  <c r="J211"/>
  <c r="I211"/>
  <c r="F261"/>
  <c r="F205"/>
  <c r="I261"/>
  <c r="J261"/>
  <c r="J205"/>
  <c r="E224"/>
  <c r="F267"/>
  <c r="E205"/>
  <c r="I205"/>
  <c r="F211"/>
  <c r="E261"/>
  <c r="I277"/>
  <c r="E211"/>
  <c r="E277"/>
  <c r="E242" l="1"/>
  <c r="F242"/>
  <c r="D301"/>
  <c r="H301"/>
  <c r="J301" l="1"/>
  <c r="I301"/>
  <c r="D306"/>
  <c r="H306"/>
  <c r="J306" l="1"/>
  <c r="I306"/>
  <c r="F301" l="1"/>
  <c r="E301"/>
  <c r="F306" l="1"/>
  <c r="E306"/>
</calcChain>
</file>

<file path=xl/sharedStrings.xml><?xml version="1.0" encoding="utf-8"?>
<sst xmlns="http://schemas.openxmlformats.org/spreadsheetml/2006/main" count="542" uniqueCount="513">
  <si>
    <t>Загальний фонд</t>
  </si>
  <si>
    <t>Спеціальний фонд</t>
  </si>
  <si>
    <t>Код бюджетної класифікації</t>
  </si>
  <si>
    <t>Найменування коду згідно із бюджетною класифікацією</t>
  </si>
  <si>
    <t>Державне управління</t>
  </si>
  <si>
    <t>Органи місцевого самоврядування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</si>
  <si>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</si>
  <si>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</si>
  <si>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</si>
  <si>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</si>
  <si>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</si>
  <si>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</si>
  <si>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</si>
  <si>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водному транспорті</t>
  </si>
  <si>
    <t>Компенсаційні виплати за пільговий проїзд окремих категорій громадян на залізничному транспорті</t>
  </si>
  <si>
    <t>МІЖБЮДЖЕТНІ ТРАНСФЕРТИ</t>
  </si>
  <si>
    <t>ВСЬОГО ВИДАТКІВ З КРЕДИТУВАННЯМ</t>
  </si>
  <si>
    <t xml:space="preserve">РАЗОМ ВИДАТКИ </t>
  </si>
  <si>
    <t xml:space="preserve"> КРЕДИТУВАННЯ </t>
  </si>
  <si>
    <t xml:space="preserve">ВСЬОГО ВИДАТКІВ </t>
  </si>
  <si>
    <t xml:space="preserve">ФІНАНСУВАННЯ </t>
  </si>
  <si>
    <t>Дефіцит (-)/профіцит (+)</t>
  </si>
  <si>
    <t>Внутрішнє фінансування</t>
  </si>
  <si>
    <t>Фінансування за рахунок коштів єдиного казначейського рахунку</t>
  </si>
  <si>
    <t>Фінансування за рахунок залишків коштів на рахунках бюджетних установ</t>
  </si>
  <si>
    <t>Фінансування за рахунок зміни залишків коштів бюджетів</t>
  </si>
  <si>
    <t>Разом коштів, отриманих з усіх джерел фінансування бюджету за типом кредитора</t>
  </si>
  <si>
    <t>Внутрішній борг</t>
  </si>
  <si>
    <t>Класифікація боргу за типом боргового зобов"язання</t>
  </si>
  <si>
    <t>Заборгованість за середньостроковими зобов"язаннями (позики за рахунок ресурсів єдиного казначейського рахунка)</t>
  </si>
  <si>
    <t>Реверсна дотація </t>
  </si>
  <si>
    <t>Відхилення, тис. грн.</t>
  </si>
  <si>
    <t>Темп зростання, %</t>
  </si>
  <si>
    <t>0100</t>
  </si>
  <si>
    <t>1000</t>
  </si>
  <si>
    <t>1010</t>
  </si>
  <si>
    <t>1020</t>
  </si>
  <si>
    <t>1030</t>
  </si>
  <si>
    <t>1090</t>
  </si>
  <si>
    <t>2000</t>
  </si>
  <si>
    <t>2010</t>
  </si>
  <si>
    <t>Багатопрофільна стаціонарна медична допомога населенню</t>
  </si>
  <si>
    <t>2140</t>
  </si>
  <si>
    <t>3000</t>
  </si>
  <si>
    <t>3030</t>
  </si>
  <si>
    <t>3031</t>
  </si>
  <si>
    <t>3033</t>
  </si>
  <si>
    <t>3034</t>
  </si>
  <si>
    <t>Надання пільг окремим категоріям громадян з оплати послуг зв'язку</t>
  </si>
  <si>
    <t>3035</t>
  </si>
  <si>
    <t>3036</t>
  </si>
  <si>
    <t>Компенсаційні виплати на пільговий проїзд електротранспортом окремим категоріям громадян</t>
  </si>
  <si>
    <t>3050</t>
  </si>
  <si>
    <t>3090</t>
  </si>
  <si>
    <t>3100</t>
  </si>
  <si>
    <t>3104</t>
  </si>
  <si>
    <t>3105</t>
  </si>
  <si>
    <t>3130</t>
  </si>
  <si>
    <t>3133</t>
  </si>
  <si>
    <t>3180</t>
  </si>
  <si>
    <t>3190</t>
  </si>
  <si>
    <t>3240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</si>
  <si>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</si>
  <si>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</si>
  <si>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</si>
  <si>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</si>
  <si>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</si>
  <si>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Реалізація державної політики у молодіжній сфері</t>
  </si>
  <si>
    <t>Соціальний захист ветеранів війни та праці</t>
  </si>
  <si>
    <t>6000</t>
  </si>
  <si>
    <t>6010</t>
  </si>
  <si>
    <t>4000</t>
  </si>
  <si>
    <t>4060</t>
  </si>
  <si>
    <t>5000</t>
  </si>
  <si>
    <t>Проведення спортивної роботи в регіоні</t>
  </si>
  <si>
    <t>5010</t>
  </si>
  <si>
    <t>5011</t>
  </si>
  <si>
    <t>5012</t>
  </si>
  <si>
    <t>5030</t>
  </si>
  <si>
    <t>5031</t>
  </si>
  <si>
    <t>5032</t>
  </si>
  <si>
    <t>5033</t>
  </si>
  <si>
    <t>5040</t>
  </si>
  <si>
    <t>5041</t>
  </si>
  <si>
    <t>5060</t>
  </si>
  <si>
    <t>5062</t>
  </si>
  <si>
    <t>5063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</si>
  <si>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</si>
  <si>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</si>
  <si>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та заходів з інвалідного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</si>
  <si>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</si>
  <si>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</si>
  <si>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підготовки спортсменів вищих категорій школами вищої спортивної майстерності</t>
  </si>
  <si>
    <t>Підтримка і розвиток спортивної інфраструктури</t>
  </si>
  <si>
    <t>Утримання комунальних спортивних споруд</t>
  </si>
  <si>
    <t>Інші заходи з розвитку фізичної культури та спорту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</si>
  <si>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</si>
  <si>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централізованої бухгалтерії</t>
  </si>
  <si>
    <t>7300</t>
  </si>
  <si>
    <t>8000</t>
  </si>
  <si>
    <t>8120</t>
  </si>
  <si>
    <t>Впровадження засобів обліку витрат та регулювання споживання води та теплової енергії</t>
  </si>
  <si>
    <t>Заходи, пов’язані з поліпшенням питної води</t>
  </si>
  <si>
    <t>Забезпечення збору та вивезення сміття і відходів, надійної та безперебійної експлуатації каналізаційних систем</t>
  </si>
  <si>
    <t>Інші заходи у сфері електротранспорту</t>
  </si>
  <si>
    <t>7400</t>
  </si>
  <si>
    <t>Внески до статутного капіталу суб’єктів господарювання</t>
  </si>
  <si>
    <t>3160</t>
  </si>
  <si>
    <t>1160</t>
  </si>
  <si>
    <t>Заходи з енергозбереження</t>
  </si>
  <si>
    <t>Інші заходи, пов'язані з економічною діяльністю</t>
  </si>
  <si>
    <t>Сприяння розвитку малого та середнього підприємництва</t>
  </si>
  <si>
    <t>7600</t>
  </si>
  <si>
    <t>1150</t>
  </si>
  <si>
    <t>2030</t>
  </si>
  <si>
    <t>2080</t>
  </si>
  <si>
    <t>2100</t>
  </si>
  <si>
    <t>2110</t>
  </si>
  <si>
    <t>2111</t>
  </si>
  <si>
    <t>2144</t>
  </si>
  <si>
    <t>2146</t>
  </si>
  <si>
    <t>2150</t>
  </si>
  <si>
    <t>2151</t>
  </si>
  <si>
    <t>2152</t>
  </si>
  <si>
    <t>3120</t>
  </si>
  <si>
    <t>3121</t>
  </si>
  <si>
    <t>3122</t>
  </si>
  <si>
    <t>3170</t>
  </si>
  <si>
    <t>3171</t>
  </si>
  <si>
    <t>3191</t>
  </si>
  <si>
    <t>3192</t>
  </si>
  <si>
    <t>3210</t>
  </si>
  <si>
    <t>3241</t>
  </si>
  <si>
    <t>3242</t>
  </si>
  <si>
    <t>4030</t>
  </si>
  <si>
    <t>4080</t>
  </si>
  <si>
    <t>4081</t>
  </si>
  <si>
    <t>4082</t>
  </si>
  <si>
    <t>6011</t>
  </si>
  <si>
    <t>6014</t>
  </si>
  <si>
    <t>0160</t>
  </si>
  <si>
    <t xml:space="preserve">Забезпечення діяльності інших закладів у сфері освіти </t>
  </si>
  <si>
    <t>Інші програми та заходи у сфері освіти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</si>
  <si>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</si>
  <si>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</si>
  <si>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</si>
  <si>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</si>
  <si>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</si>
  <si>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Інші  програми, заклади та заходи у сфері охорони здоров’я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</si>
  <si>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</si>
  <si>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</si>
  <si>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Забезпечення діяльності бібліотек</t>
  </si>
  <si>
    <t>Інші заклади та заходи в галузі культури і мистецтва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</si>
  <si>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</si>
  <si>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</si>
  <si>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Утримання та ефективна експлуатація об’єктів житлово-комунального господарства</t>
  </si>
  <si>
    <t>Експлуатація та технічне обслуговування житлового фонду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</si>
  <si>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</si>
  <si>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</si>
  <si>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</si>
  <si>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Інша діяльність у сфері житлово-комунального господарства</t>
  </si>
  <si>
    <t xml:space="preserve">Реалізація державних та місцевих житлових програм </t>
  </si>
  <si>
    <t>Будівництво та регіональний розвиток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</si>
  <si>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</si>
  <si>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</si>
  <si>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</si>
  <si>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</si>
  <si>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</si>
  <si>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Будівництво об'єктів соціально-культурного призначення</t>
  </si>
  <si>
    <t>7350</t>
  </si>
  <si>
    <t>Розроблення схем планування та забудови територій (містобудівної документації)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</si>
  <si>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</si>
  <si>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</si>
  <si>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</si>
  <si>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7426</t>
  </si>
  <si>
    <t>Забезпечення надання послуг з перевезення пасажирів електротранспортом</t>
  </si>
  <si>
    <t>Інші послуги та заходи, пов'язані з економічною діяльністю</t>
  </si>
  <si>
    <t>7640</t>
  </si>
  <si>
    <t>7670</t>
  </si>
  <si>
    <t>Інша економічна діяльність</t>
  </si>
  <si>
    <t>7690</t>
  </si>
  <si>
    <t>7693</t>
  </si>
  <si>
    <t>7370</t>
  </si>
  <si>
    <t>Реалізація інших заходів щодо соціально-економічного розвитку територій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</si>
  <si>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</si>
  <si>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</si>
  <si>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</si>
  <si>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Заходи із запобігання та ліквідації надзвичайних ситуацій та наслідків стихійного лиха</t>
  </si>
  <si>
    <t>Заходи з організації рятування на водах</t>
  </si>
  <si>
    <t>8821</t>
  </si>
  <si>
    <t>8822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</si>
  <si>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</si>
  <si>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</si>
  <si>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8200</t>
  </si>
  <si>
    <t>8220</t>
  </si>
  <si>
    <t>8230</t>
  </si>
  <si>
    <t>9110</t>
  </si>
  <si>
    <t>Інша діяльність</t>
  </si>
  <si>
    <t>Громадський порядок та безпека</t>
  </si>
  <si>
    <t>Інші заходи громадського порядку та безпеки</t>
  </si>
  <si>
    <t>Надання пільг з оплати послуг зв’язку,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</si>
  <si>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>3032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</si>
  <si>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</si>
  <si>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віку,особам з інвалідістю, дітям з інвалідністю в установах соціального обслуговування</t>
  </si>
  <si>
    <t>Надання реабілітаційних послуг особам з інвалідістю та дітям з інвалідністю</t>
  </si>
  <si>
    <t>3123</t>
  </si>
  <si>
    <t xml:space="preserve"> Інші заходи та заклади молодіжної політики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</si>
  <si>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</si>
  <si>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реалізації окремих програм для осіб з інвалідністю</t>
  </si>
  <si>
    <t>3172</t>
  </si>
  <si>
    <t>Встановлення телефонів особам з інвалідністю I і II груп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</si>
  <si>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</si>
  <si>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Заходи та роботи з мобілізаційної підготовки місцевого значення</t>
  </si>
  <si>
    <t xml:space="preserve"> Інші видатки на соціальний захист ветеранів війни та праці</t>
  </si>
  <si>
    <t>Інші заклади та заходи</t>
  </si>
  <si>
    <t xml:space="preserve"> Забезпечення діяльності інших закладів у сфері соціального захисту і соціального забезпечення</t>
  </si>
  <si>
    <t xml:space="preserve"> Інші заходи у сфері соціального захисту і соціального забезпечення</t>
  </si>
  <si>
    <t>Програми і централізовані заходи у галузі охорони здоров'я</t>
  </si>
  <si>
    <t>Інші програми, заклади та заходи у сфері освіти</t>
  </si>
  <si>
    <t>7680</t>
  </si>
  <si>
    <t>8300</t>
  </si>
  <si>
    <t>8340</t>
  </si>
  <si>
    <t>Забезпечення діяльності палаців і будинків культури, клубів, центрів дозвілля та інших  клубних закладів</t>
  </si>
  <si>
    <t>Природоохоронні заходи за рахунок цільових фондів</t>
  </si>
  <si>
    <t xml:space="preserve">Охорона навколишнього природного середовища </t>
  </si>
  <si>
    <t>Інші субвенції з місцевого бюджету</t>
  </si>
  <si>
    <t>Членські внески до асоціацій органів місцевого самоврядування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</si>
  <si>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</si>
  <si>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Будівництво установ та закладів соціальної сфери</t>
  </si>
  <si>
    <t>7610</t>
  </si>
  <si>
    <t>9770</t>
  </si>
  <si>
    <t xml:space="preserve">Амбулаторно-поліклінічна допомога населенню, крім  первинної медичної допомоги </t>
  </si>
  <si>
    <t>Первинна медична допомога населенню</t>
  </si>
  <si>
    <t>Придбання житла для окремих категорій населення відповідно до законодавства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</si>
  <si>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</si>
  <si>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Інша діяльність щодо забезпечення житлом громадян</t>
  </si>
  <si>
    <t>Виконання інвестиційних проектів за рахунок субвенції на здійснення заходів щодо соціально-економічного розвитку окремих територій</t>
  </si>
  <si>
    <t>7363</t>
  </si>
  <si>
    <t>6012</t>
  </si>
  <si>
    <t>Забезпечення діяльності  з виробництва, транспортування, постачання теплової енергії</t>
  </si>
  <si>
    <t>Погашення різниці між фактичною вартістю теплової енергії, послуг з централізованого водопостачання та водовідведення, постачання холодної води</t>
  </si>
  <si>
    <t>7650</t>
  </si>
  <si>
    <t>Проведення експертної  грошової  оцінки  земельної ділянки чи права на неї</t>
  </si>
  <si>
    <t>0180</t>
  </si>
  <si>
    <t>Інша діяльність у сфері державного управління</t>
  </si>
  <si>
    <t>Зміни обсягів депозитів і цінних паперів, що використовуються для управління ліквідністю</t>
  </si>
  <si>
    <t>Надання інших пільг окремим категоріям громадян відповідно до законодавства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</si>
  <si>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</si>
  <si>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</si>
  <si>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Забезпечення діяльності інклюзивно-ресурсних центрів</t>
  </si>
  <si>
    <t>Будівництво інших об'єктів комунальної власності</t>
  </si>
  <si>
    <t>Проектування, реставрація та охорона пам'яток архітектури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</si>
  <si>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</si>
  <si>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</si>
  <si>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7462</t>
  </si>
  <si>
    <t xml:space="preserve"> Утримання та розвиток автомобільних доріг та дорожньої інфраструктури за рахунок субвенції з  державного бюджету</t>
  </si>
  <si>
    <t>Надання дошкільної  освіти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</si>
  <si>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</si>
  <si>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</si>
  <si>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</si>
  <si>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Організація та проведення громадських робіт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</si>
  <si>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</si>
  <si>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</si>
  <si>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</si>
  <si>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</si>
  <si>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6013</t>
  </si>
  <si>
    <t>Забезпечення діяльності водопровідно-каналізаційного господарства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</si>
  <si>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</si>
  <si>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</si>
  <si>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1080</t>
  </si>
  <si>
    <t>7622</t>
  </si>
  <si>
    <t>Реалізація програм і заходів в галузі туризму та курортів</t>
  </si>
  <si>
    <t xml:space="preserve">Утримання та забезпечення діяльності центрів соціальних служб </t>
  </si>
  <si>
    <t xml:space="preserve"> 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</si>
  <si>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загальної середньої освіти  за рахунок коштів місцевого бюджету</t>
  </si>
  <si>
    <t>Надання загальної середньої освіти закладами загальної середньої освіти</t>
  </si>
  <si>
    <t>1022</t>
  </si>
  <si>
    <t>1023</t>
  </si>
  <si>
    <t>Надання загальної середньої освіти спеціалізованими закладами загальної середньої освіти</t>
  </si>
  <si>
    <t>Надання загальної середньої освіти  за рахунок освітньої субвенції</t>
  </si>
  <si>
    <t>1031</t>
  </si>
  <si>
    <t>1032</t>
  </si>
  <si>
    <t>1033</t>
  </si>
  <si>
    <t>1070</t>
  </si>
  <si>
    <t xml:space="preserve"> Надання позашкільної освіти закладами позашкільної освіти, заходи із позашкільної роботи з дітьми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</si>
  <si>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</si>
  <si>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</si>
  <si>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</si>
  <si>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1101</t>
  </si>
  <si>
    <t xml:space="preserve">  Підготовка кадрів закладами фахової передвищої освіти за рахунок коштів місцевого бюджету</t>
  </si>
  <si>
    <t>1140</t>
  </si>
  <si>
    <t>1141</t>
  </si>
  <si>
    <t>1142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</si>
  <si>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</si>
  <si>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</si>
  <si>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</si>
  <si>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</si>
  <si>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</si>
  <si>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</si>
  <si>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</si>
  <si>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Підготовка кадрів закладами професійної (професійно-технічної) освіти та іншими закладами освіти  за рахунок освітньої субвенції</t>
  </si>
  <si>
    <t>3112</t>
  </si>
  <si>
    <t>Заходи державної політики з питань дітей та їх соціального захисту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</si>
  <si>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</si>
  <si>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</si>
  <si>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</si>
  <si>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</si>
  <si>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</si>
  <si>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</si>
  <si>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8700</t>
  </si>
  <si>
    <t>Резервний фонд</t>
  </si>
  <si>
    <t>8770</t>
  </si>
  <si>
    <t>Інші непередбачувані заходи за рахунок коштів резервного фонду місцевого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</si>
  <si>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</si>
  <si>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</si>
  <si>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</si>
  <si>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</si>
  <si>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</si>
  <si>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</si>
  <si>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</si>
  <si>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</t>
  </si>
  <si>
    <t>Податок на прибуток підприємств та фінансових  установ  комунальної власності</t>
  </si>
  <si>
    <t>Рентна плата та плата за використання інших природних ресурсів </t>
  </si>
  <si>
    <t>Внутрішні податки на товари та послуги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</si>
  <si>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</si>
  <si>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</si>
  <si>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</si>
  <si>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</si>
  <si>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</si>
  <si>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</si>
  <si>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</si>
  <si>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Акцизний податок з реалізації суб’єктами господарювання роздрібної торгівлі підакцизних товарів</t>
  </si>
  <si>
    <t xml:space="preserve">Місцеві податки та збори, що сплачуються (перераховуються) згідно з Податковим кодексом України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</si>
  <si>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</si>
  <si>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</si>
  <si>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</si>
  <si>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 xml:space="preserve"> 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</si>
  <si>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 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</si>
  <si>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 xml:space="preserve"> 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</si>
  <si>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</si>
  <si>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</si>
  <si>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</si>
  <si>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</si>
  <si>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</si>
  <si>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</si>
  <si>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</si>
  <si>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</si>
  <si>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</si>
  <si>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</si>
  <si>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</si>
  <si>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</si>
  <si>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</t>
  </si>
  <si>
    <t>Збір за забруднення навколишнього природного середовища  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</si>
  <si>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</si>
  <si>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</si>
  <si>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</si>
  <si>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</si>
  <si>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</si>
  <si>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</si>
  <si>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</si>
  <si>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 xml:space="preserve">Адміністративні збори та платежі, доходи від некомерційної господарської діяльності </t>
  </si>
  <si>
    <t>Плата за надання адміністративних послуг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</si>
  <si>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</si>
  <si>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</si>
  <si>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</si>
  <si>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</si>
  <si>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</si>
  <si>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</si>
  <si>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</si>
  <si>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</si>
  <si>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</si>
  <si>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</si>
  <si>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</si>
  <si>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
</t>
  </si>
  <si>
    <t>Відсотки за користування 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</si>
  <si>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</si>
  <si>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</si>
  <si>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</si>
  <si>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</si>
  <si>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</si>
  <si>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</si>
  <si>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</si>
  <si>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</t>
  </si>
  <si>
    <t>Цільові фонди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</si>
  <si>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</si>
  <si>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</t>
  </si>
  <si>
    <t xml:space="preserve">Офіційні трансферти 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</si>
  <si>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</si>
  <si>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</si>
  <si>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</si>
  <si>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</si>
  <si>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</si>
  <si>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</si>
  <si>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41051700</t>
  </si>
  <si>
    <t>41053900</t>
  </si>
  <si>
    <t>41055000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</si>
  <si>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</si>
  <si>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ВСЬОГО ДОХОДІВ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</si>
  <si>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</si>
  <si>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</si>
  <si>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періоду.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</si>
  <si>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</si>
  <si>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</si>
  <si>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</si>
  <si>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</si>
  <si>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</si>
  <si>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</si>
  <si>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3110</t>
  </si>
  <si>
    <t>Заклади і заходи з питань дітей та їх соціального захисту</t>
  </si>
  <si>
    <t>1060</t>
  </si>
  <si>
    <t>Надання загальної середньої освіти  за рахунок залишку коштів за освітньою субвенцією (крім залишку коштів, що мають цільове призначенн,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навчальногопроцесу у закладах загальної середньої освіти)</t>
  </si>
  <si>
    <t>1161</t>
  </si>
  <si>
    <t>1162</t>
  </si>
  <si>
    <t>1170</t>
  </si>
  <si>
    <t>Виконання заходів в рамках реалізації програми "Спроможна школа для кращих результатів"</t>
  </si>
  <si>
    <t>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</si>
  <si>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</si>
  <si>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>1171</t>
  </si>
  <si>
    <t>1180</t>
  </si>
  <si>
    <t>Виконання заходів, спрямованих на забезпечення якісної, сучасної та доступної загальної середньої освіти "Нова українська школа"</t>
  </si>
  <si>
    <t>1181</t>
  </si>
  <si>
    <t>1182</t>
  </si>
  <si>
    <t>Співфінансування заходів, що реалізуються за рахунок субвенції з  державного бюджету місцевим бюджетам 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</si>
  <si>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</si>
  <si>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 xml:space="preserve">Співфінансування заходів, що реалізуються за рахунок субвенції з  державного бюджету місцевим бюджетам  на  реалізацію програми "Спроможна школа для кращих результатів" </t>
  </si>
  <si>
    <t>1021</t>
  </si>
  <si>
    <t>Усього</t>
  </si>
  <si>
    <t>Зовнішній борг</t>
  </si>
  <si>
    <t>Заборгованість за довгостроковими  зобов"язаннями (позики банків та фінансових установ)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</si>
  <si>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</si>
  <si>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Субвенція з державного бюджету місцевим бюджетам на реалізацію програми "Спроможна школа для кращих результатів"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</si>
  <si>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</si>
  <si>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41051400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</si>
  <si>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</si>
  <si>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8600</t>
  </si>
  <si>
    <t>Обслуговування місцевого боргу</t>
  </si>
  <si>
    <t>Зовнішнє фінансування</t>
  </si>
  <si>
    <t>41052600</t>
  </si>
  <si>
    <t>в 2,1 р.б.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</si>
  <si>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</si>
  <si>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</si>
  <si>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пунктів 11 - 14 частини другої статті 7 або учасниками бойових дій відповідно до пунктів 19 - 20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</si>
  <si>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</si>
  <si>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</si>
  <si>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</si>
  <si>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</si>
  <si>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станом на 01 січня 2022 року, тис. грн.</t>
  </si>
  <si>
    <t>7380</t>
  </si>
  <si>
    <t>Виконання інвестиційних проектів за рахунок інших субвенцій з державного бюджету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</si>
  <si>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</si>
  <si>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</si>
  <si>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Кошти, отримані від надання учасниками процедури закупівлі / спрощеної закупівлі як забезпечення їх тендерної пропозиції / пропозиції учасника спрощеної закупівлі, які не підлягають поверненню цим учасникам</t>
  </si>
  <si>
    <t>Субвенція з державного бюджету місцевим бюджетам на розвиток комунальної інфраструктури, у тому числі на придбання комунальної техніки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</si>
  <si>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</si>
  <si>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</si>
  <si>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Інші надходження до фондів охорони навколишнього природного середовища</t>
  </si>
  <si>
    <t>Плата за гарантії, надані Верховною Радою Автономної Республіки Крим, міськими та обласними радами  </t>
  </si>
  <si>
    <t>41052900</t>
  </si>
  <si>
    <t>в 2,5 р.б.</t>
  </si>
  <si>
    <t>в 4,8 р.б.</t>
  </si>
  <si>
    <t>до пояснювальної записки</t>
  </si>
  <si>
    <t>Додаток 2</t>
  </si>
  <si>
    <t>в 7,3 р.б.</t>
  </si>
  <si>
    <t>в 6,4 р.б.</t>
  </si>
  <si>
    <t>станом на 01 січня 2023 року, тис. грн.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</si>
  <si>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</si>
  <si>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8240</t>
  </si>
  <si>
    <t>8724</t>
  </si>
  <si>
    <t xml:space="preserve">  Заходи із запобігання та ліквідації наслідків надзвичайної ситуації у будівлі закладу освіти за рахунок коштів резервного фонду місцевого бюджету</t>
  </si>
  <si>
    <t>8741</t>
  </si>
  <si>
    <t>8775</t>
  </si>
  <si>
    <t>Сільське, лісове, рибне господарство та мисливство</t>
  </si>
  <si>
    <t>7100</t>
  </si>
  <si>
    <t>7130</t>
  </si>
  <si>
    <t>Здійснення  заходів із землеустрою</t>
  </si>
  <si>
    <t>Заходи та роботи з територіальної оборони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</si>
  <si>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</si>
  <si>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 xml:space="preserve"> Інші заходи за рахунок коштів резервного фонду місцевого бюджету</t>
  </si>
  <si>
    <t>7000</t>
  </si>
  <si>
    <t xml:space="preserve"> Економічна діяльність</t>
  </si>
  <si>
    <t>в 2,9 р.б.</t>
  </si>
  <si>
    <t>Заходи із запобігання та ліквідації наслідків у будівлі установ, закладів, організацій комунальної власності за рахунок коштів резервного фонду місцевого бюджету</t>
  </si>
  <si>
    <t>8720</t>
  </si>
  <si>
    <t>Заходи із запобігання та ліквідації наслідків надзвичайних ситуацій у житлово-комунальному господарстві за рахунок коштів резервного фонду місцевого бюджету</t>
  </si>
  <si>
    <t>8740</t>
  </si>
  <si>
    <t>в 43,6 р.б.</t>
  </si>
  <si>
    <t>в 5,8 р.б.</t>
  </si>
  <si>
    <t>в 76,1 р.б.</t>
  </si>
  <si>
    <t>в 4,4 р.б.</t>
  </si>
  <si>
    <t>в 3,8 р.б.</t>
  </si>
  <si>
    <t>в 3,6 р.б.</t>
  </si>
  <si>
    <t>в 2,2 р.б.</t>
  </si>
  <si>
    <t>в 1,8 р.б.</t>
  </si>
  <si>
    <t>в 16,3 р.б.</t>
  </si>
  <si>
    <t>Дотації з державного бюджету місцевим бюджетам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</si>
  <si>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</si>
  <si>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Дотації  з місцевих бюджетів іншим місцевим бюджетам</t>
  </si>
  <si>
    <t>Інші дотації з місцевого бюджету</t>
  </si>
  <si>
    <t>Темп зростання/ уповільнення, %</t>
  </si>
  <si>
    <t>в 4,3 р.б.</t>
  </si>
  <si>
    <t>в 5,2 р.б.</t>
  </si>
  <si>
    <t>в 7,2 р.б.</t>
  </si>
  <si>
    <t>в 13,3 р.б.</t>
  </si>
  <si>
    <r>
  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 </t>
    </r>
    <r>
      <rPr>
        <u/>
        <sz val="14"/>
        <rFont val="Times New Roman"/>
        <family val="1"/>
        <charset val="204"/>
      </rPr>
      <t>абзаці першому</t>
    </r>
    <r>
      <rPr>
        <sz val="14"/>
        <rFont val="Times New Roman"/>
        <family val="1"/>
        <charset val="204"/>
      </rPr>
      <t>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</r>
    <r>
      <rPr>
        <u/>
        <sz val="14"/>
        <rFont val="Times New Roman"/>
        <family val="1"/>
        <charset val="204"/>
      </rPr>
      <t>пунктом 7</t>
    </r>
    <r>
      <rPr>
        <sz val="14"/>
        <rFont val="Times New Roman"/>
        <family val="1"/>
        <charset val="204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</si>
  <si>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погашення заборгованості з різниці в тарифах, що підлягає урегулюванню згідно із </t>
    </r>
    <r>
      <rPr>
        <u/>
        <sz val="14"/>
        <rFont val="Times New Roman"/>
        <family val="1"/>
        <charset val="204"/>
      </rPr>
      <t>Законом України</t>
    </r>
    <r>
      <rPr>
        <sz val="14"/>
        <rFont val="Times New Roman"/>
        <family val="1"/>
        <charset val="204"/>
      </rPr>
      <t> 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 за рахунок відповідної субвенції з державного бюджету</t>
    </r>
  </si>
  <si>
    <t>Інформація про виконання бюджету  Миколаївської міської територіальної громади  за  2022 рік  (з динамікою змін порівняно за 2021 рік)</t>
  </si>
  <si>
    <t>Виконано за  2021 рік, тис. грн</t>
  </si>
  <si>
    <t>Виконано за 2022 рік, тис. грн</t>
  </si>
  <si>
    <t>Відхилення, тис. грн</t>
  </si>
  <si>
    <t>в 2,3 р.б.</t>
  </si>
  <si>
    <t>ВИДАТКОВА ЧАСТИНА ТА КРЕДИТУВАННЯ  БЮДЖЕТУ МИКОЛАЇВСЬКОЇ МІСЬКОЇ ТЕРИТОРІАЛЬНОЇ ГРОМАДИ</t>
  </si>
  <si>
    <t>ДОХІДНА ЧАСТИНА БЮДЖЕТУ МИКОЛАЇВСЬКОЇ МІСЬКОЇ ТЕРИТОРІАЛЬНОЇ ГРОМАДИ</t>
  </si>
  <si>
    <t>ІНФОРМАЦІЯ ПРО СТАН МІСЦЕВОГО БОРГУ БЮДЖЕТУ МИКОЛАЇВСЬКОЇ МІСЬКОЇ ТЕРИТОРІАЛЬНОЇ ГРОМАДИ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</si>
</sst>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"/>
    <numFmt numFmtId="166" formatCode="0.0_)"/>
    <numFmt numFmtId="167" formatCode="#,##0.000"/>
    <numFmt numFmtId="168" formatCode="#,##0.0"/>
  </numFmts>
  <fonts count="20"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Arial Cyr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i/>
      <sz val="11"/>
      <name val="Arial Cyr"/>
      <charset val="204"/>
    </font>
    <font>
      <b/>
      <sz val="14"/>
      <name val="Arial Cyr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167" fontId="3" fillId="0" borderId="0" xfId="0" applyNumberFormat="1" applyFont="1" applyFill="1"/>
    <xf numFmtId="167" fontId="6" fillId="0" borderId="0" xfId="0" applyNumberFormat="1" applyFont="1" applyFill="1"/>
    <xf numFmtId="165" fontId="6" fillId="0" borderId="0" xfId="0" applyNumberFormat="1" applyFont="1" applyFill="1" applyAlignment="1">
      <alignment horizontal="right"/>
    </xf>
    <xf numFmtId="0" fontId="8" fillId="0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right"/>
    </xf>
    <xf numFmtId="167" fontId="6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 applyProtection="1">
      <alignment horizontal="right" vertical="center" wrapText="1"/>
    </xf>
    <xf numFmtId="168" fontId="6" fillId="0" borderId="1" xfId="0" applyNumberFormat="1" applyFont="1" applyFill="1" applyBorder="1" applyAlignment="1" applyProtection="1">
      <alignment horizontal="right" vertical="center" wrapText="1"/>
    </xf>
    <xf numFmtId="165" fontId="6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vertical="top"/>
      <protection locked="0"/>
    </xf>
    <xf numFmtId="166" fontId="5" fillId="0" borderId="1" xfId="0" applyNumberFormat="1" applyFont="1" applyFill="1" applyBorder="1" applyAlignment="1" applyProtection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right" vertical="top"/>
      <protection locked="0"/>
    </xf>
    <xf numFmtId="0" fontId="6" fillId="0" borderId="1" xfId="0" applyNumberFormat="1" applyFont="1" applyFill="1" applyBorder="1" applyAlignment="1" applyProtection="1">
      <alignment vertical="top" wrapText="1"/>
    </xf>
    <xf numFmtId="165" fontId="6" fillId="0" borderId="1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 applyProtection="1">
      <alignment horizontal="left" vertical="top" wrapText="1"/>
      <protection locked="0"/>
    </xf>
    <xf numFmtId="166" fontId="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righ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 applyProtection="1">
      <alignment horizontal="right" vertical="top"/>
    </xf>
    <xf numFmtId="168" fontId="7" fillId="0" borderId="1" xfId="0" applyNumberFormat="1" applyFont="1" applyFill="1" applyBorder="1" applyAlignment="1" applyProtection="1">
      <alignment horizontal="right" vertical="center" wrapText="1"/>
    </xf>
    <xf numFmtId="167" fontId="7" fillId="0" borderId="1" xfId="0" applyNumberFormat="1" applyFont="1" applyFill="1" applyBorder="1" applyAlignment="1" applyProtection="1">
      <alignment horizontal="right" vertical="center" wrapText="1"/>
    </xf>
    <xf numFmtId="165" fontId="7" fillId="0" borderId="1" xfId="0" applyNumberFormat="1" applyFont="1" applyFill="1" applyBorder="1" applyAlignment="1" applyProtection="1">
      <alignment horizontal="right" vertical="center" wrapText="1"/>
    </xf>
    <xf numFmtId="49" fontId="6" fillId="0" borderId="1" xfId="0" applyNumberFormat="1" applyFont="1" applyFill="1" applyBorder="1" applyAlignment="1" applyProtection="1">
      <alignment horizontal="right" vertical="center"/>
      <protection locked="0"/>
    </xf>
    <xf numFmtId="166" fontId="6" fillId="0" borderId="1" xfId="0" applyNumberFormat="1" applyFont="1" applyFill="1" applyBorder="1" applyAlignment="1" applyProtection="1">
      <alignment horizontal="left" vertical="center" wrapText="1"/>
      <protection locked="0"/>
    </xf>
    <xf numFmtId="2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vertical="top" wrapText="1"/>
    </xf>
    <xf numFmtId="167" fontId="12" fillId="0" borderId="1" xfId="0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horizontal="right" vertical="center"/>
    </xf>
    <xf numFmtId="0" fontId="15" fillId="0" borderId="0" xfId="0" applyFont="1" applyFill="1"/>
    <xf numFmtId="166" fontId="6" fillId="0" borderId="1" xfId="0" applyNumberFormat="1" applyFont="1" applyFill="1" applyBorder="1" applyAlignment="1" applyProtection="1">
      <alignment horizontal="left" wrapText="1"/>
      <protection locked="0"/>
    </xf>
    <xf numFmtId="167" fontId="12" fillId="0" borderId="1" xfId="0" applyNumberFormat="1" applyFont="1" applyFill="1" applyBorder="1" applyAlignment="1" applyProtection="1">
      <alignment horizontal="right" vertical="center" wrapText="1"/>
    </xf>
    <xf numFmtId="165" fontId="12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right" wrapText="1"/>
      <protection locked="0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167" fontId="6" fillId="0" borderId="1" xfId="0" applyNumberFormat="1" applyFont="1" applyFill="1" applyBorder="1" applyAlignment="1" applyProtection="1">
      <alignment horizontal="right" vertical="center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vertical="center"/>
      <protection locked="0"/>
    </xf>
    <xf numFmtId="164" fontId="6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 applyProtection="1">
      <alignment horizontal="right" vertical="top"/>
      <protection locked="0"/>
    </xf>
    <xf numFmtId="0" fontId="7" fillId="0" borderId="1" xfId="0" applyFont="1" applyFill="1" applyBorder="1" applyAlignment="1">
      <alignment vertical="center" wrapText="1"/>
    </xf>
    <xf numFmtId="167" fontId="7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 applyProtection="1">
      <alignment horizontal="right"/>
    </xf>
    <xf numFmtId="167" fontId="6" fillId="0" borderId="1" xfId="0" applyNumberFormat="1" applyFont="1" applyFill="1" applyBorder="1" applyAlignment="1">
      <alignment horizontal="right"/>
    </xf>
    <xf numFmtId="167" fontId="6" fillId="0" borderId="1" xfId="0" applyNumberFormat="1" applyFont="1" applyFill="1" applyBorder="1" applyAlignment="1"/>
    <xf numFmtId="166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6" fillId="0" borderId="1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right" vertical="center" wrapText="1"/>
    </xf>
    <xf numFmtId="49" fontId="7" fillId="0" borderId="1" xfId="0" applyNumberFormat="1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wrapText="1"/>
      <protection locked="0"/>
    </xf>
    <xf numFmtId="49" fontId="6" fillId="0" borderId="1" xfId="0" applyNumberFormat="1" applyFont="1" applyFill="1" applyBorder="1" applyAlignment="1" applyProtection="1">
      <alignment horizontal="right" wrapText="1"/>
      <protection locked="0"/>
    </xf>
    <xf numFmtId="0" fontId="6" fillId="0" borderId="1" xfId="0" applyFont="1" applyFill="1" applyBorder="1" applyAlignment="1">
      <alignment horizontal="justify" wrapText="1"/>
    </xf>
    <xf numFmtId="167" fontId="7" fillId="0" borderId="1" xfId="0" applyNumberFormat="1" applyFont="1" applyFill="1" applyBorder="1" applyAlignment="1" applyProtection="1">
      <alignment horizontal="right" vertical="center"/>
    </xf>
    <xf numFmtId="167" fontId="6" fillId="0" borderId="1" xfId="0" applyNumberFormat="1" applyFont="1" applyFill="1" applyBorder="1"/>
    <xf numFmtId="49" fontId="10" fillId="0" borderId="1" xfId="0" applyNumberFormat="1" applyFont="1" applyFill="1" applyBorder="1" applyAlignment="1" applyProtection="1">
      <alignment horizontal="right" vertical="center"/>
      <protection locked="0"/>
    </xf>
    <xf numFmtId="167" fontId="6" fillId="0" borderId="1" xfId="0" applyNumberFormat="1" applyFont="1" applyFill="1" applyBorder="1" applyAlignment="1">
      <alignment horizontal="right" vertical="top"/>
    </xf>
    <xf numFmtId="0" fontId="6" fillId="0" borderId="1" xfId="0" applyNumberFormat="1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167" fontId="7" fillId="0" borderId="1" xfId="0" applyNumberFormat="1" applyFont="1" applyFill="1" applyBorder="1" applyAlignment="1">
      <alignment vertical="center"/>
    </xf>
    <xf numFmtId="0" fontId="16" fillId="0" borderId="0" xfId="0" applyFont="1" applyFill="1"/>
    <xf numFmtId="0" fontId="11" fillId="0" borderId="0" xfId="0" applyFont="1" applyFill="1"/>
    <xf numFmtId="167" fontId="6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/>
    <xf numFmtId="0" fontId="6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7" fillId="0" borderId="0" xfId="0" applyFont="1" applyFill="1"/>
    <xf numFmtId="0" fontId="6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top"/>
    </xf>
    <xf numFmtId="0" fontId="6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/>
    </xf>
    <xf numFmtId="167" fontId="6" fillId="0" borderId="1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left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18" fillId="0" borderId="1" xfId="0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7" fontId="6" fillId="0" borderId="1" xfId="0" applyNumberFormat="1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right" wrapText="1"/>
    </xf>
    <xf numFmtId="168" fontId="6" fillId="0" borderId="0" xfId="0" applyNumberFormat="1" applyFont="1" applyFill="1" applyBorder="1" applyAlignment="1" applyProtection="1">
      <alignment horizontal="right" vertical="center" wrapText="1"/>
    </xf>
    <xf numFmtId="167" fontId="2" fillId="0" borderId="0" xfId="0" applyNumberFormat="1" applyFont="1" applyFill="1"/>
    <xf numFmtId="0" fontId="6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left" vertical="center" wrapText="1"/>
    </xf>
    <xf numFmtId="167" fontId="7" fillId="0" borderId="1" xfId="0" applyNumberFormat="1" applyFont="1" applyFill="1" applyBorder="1" applyAlignment="1"/>
    <xf numFmtId="167" fontId="7" fillId="0" borderId="1" xfId="0" applyNumberFormat="1" applyFont="1" applyFill="1" applyBorder="1"/>
    <xf numFmtId="165" fontId="6" fillId="0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41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322"/>
  <sheetViews>
    <sheetView tabSelected="1" view="pageBreakPreview" zoomScale="75" zoomScaleNormal="75" zoomScaleSheetLayoutView="75" workbookViewId="0">
      <pane ySplit="7" topLeftCell="A8" activePane="bottomLeft" state="frozen"/>
      <selection pane="bottomLeft" activeCell="L296" sqref="L296:M296"/>
    </sheetView>
  </sheetViews>
  <sheetFormatPr defaultColWidth="9.140625" defaultRowHeight="18.75"/>
  <cols>
    <col min="1" max="1" width="19.5703125" style="2" customWidth="1"/>
    <col min="2" max="2" width="120.28515625" style="76" customWidth="1"/>
    <col min="3" max="3" width="20.7109375" style="3" customWidth="1"/>
    <col min="4" max="4" width="21.28515625" style="3" customWidth="1"/>
    <col min="5" max="5" width="20.140625" style="4" customWidth="1"/>
    <col min="6" max="6" width="19.5703125" style="5" customWidth="1"/>
    <col min="7" max="7" width="20.5703125" style="3" customWidth="1"/>
    <col min="8" max="8" width="19.5703125" style="3" customWidth="1"/>
    <col min="9" max="9" width="22.28515625" style="3" customWidth="1"/>
    <col min="10" max="10" width="18.7109375" style="10" customWidth="1"/>
    <col min="11" max="11" width="11" style="1" bestFit="1" customWidth="1"/>
    <col min="12" max="13" width="14.42578125" style="1" bestFit="1" customWidth="1"/>
    <col min="14" max="16384" width="9.140625" style="1"/>
  </cols>
  <sheetData>
    <row r="1" spans="1:10">
      <c r="H1" s="113" t="s">
        <v>461</v>
      </c>
      <c r="I1" s="113"/>
      <c r="J1" s="113"/>
    </row>
    <row r="2" spans="1:10" ht="22.5" customHeight="1">
      <c r="H2" s="126" t="s">
        <v>460</v>
      </c>
      <c r="I2" s="126"/>
      <c r="J2" s="113"/>
    </row>
    <row r="4" spans="1:10" ht="27">
      <c r="A4" s="129" t="s">
        <v>505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0" ht="28.5" customHeight="1">
      <c r="A5" s="7"/>
      <c r="B5" s="7"/>
      <c r="C5" s="7"/>
      <c r="D5" s="7"/>
      <c r="E5" s="8"/>
      <c r="F5" s="8"/>
      <c r="G5" s="7"/>
      <c r="H5" s="7"/>
      <c r="I5" s="7"/>
      <c r="J5" s="9"/>
    </row>
    <row r="6" spans="1:10" ht="21" customHeight="1">
      <c r="A6" s="131" t="s">
        <v>2</v>
      </c>
      <c r="B6" s="131" t="s">
        <v>3</v>
      </c>
      <c r="C6" s="130" t="s">
        <v>0</v>
      </c>
      <c r="D6" s="130"/>
      <c r="E6" s="130"/>
      <c r="F6" s="130"/>
      <c r="G6" s="130" t="s">
        <v>1</v>
      </c>
      <c r="H6" s="130"/>
      <c r="I6" s="130"/>
      <c r="J6" s="130"/>
    </row>
    <row r="7" spans="1:10" s="6" customFormat="1" ht="83.25" customHeight="1">
      <c r="A7" s="131"/>
      <c r="B7" s="131"/>
      <c r="C7" s="114" t="s">
        <v>506</v>
      </c>
      <c r="D7" s="114" t="s">
        <v>507</v>
      </c>
      <c r="E7" s="114" t="s">
        <v>508</v>
      </c>
      <c r="F7" s="115" t="s">
        <v>498</v>
      </c>
      <c r="G7" s="114" t="s">
        <v>506</v>
      </c>
      <c r="H7" s="114" t="s">
        <v>507</v>
      </c>
      <c r="I7" s="114" t="s">
        <v>508</v>
      </c>
      <c r="J7" s="115" t="s">
        <v>498</v>
      </c>
    </row>
    <row r="8" spans="1:10" s="121" customFormat="1" ht="12.75">
      <c r="A8" s="117">
        <v>1</v>
      </c>
      <c r="B8" s="117">
        <v>2</v>
      </c>
      <c r="C8" s="118">
        <v>3</v>
      </c>
      <c r="D8" s="118">
        <v>4</v>
      </c>
      <c r="E8" s="119">
        <v>5</v>
      </c>
      <c r="F8" s="120">
        <v>6</v>
      </c>
      <c r="G8" s="118">
        <v>7</v>
      </c>
      <c r="H8" s="118">
        <v>8</v>
      </c>
      <c r="I8" s="118">
        <v>9</v>
      </c>
      <c r="J8" s="120">
        <v>10</v>
      </c>
    </row>
    <row r="9" spans="1:10" ht="22.5">
      <c r="A9" s="132" t="s">
        <v>511</v>
      </c>
      <c r="B9" s="132"/>
      <c r="C9" s="132"/>
      <c r="D9" s="132"/>
      <c r="E9" s="132"/>
      <c r="F9" s="132"/>
      <c r="G9" s="132"/>
      <c r="H9" s="132"/>
      <c r="I9" s="132"/>
      <c r="J9" s="132"/>
    </row>
    <row r="10" spans="1:10" s="94" customFormat="1">
      <c r="A10" s="91">
        <v>10000000</v>
      </c>
      <c r="B10" s="92" t="s">
        <v>313</v>
      </c>
      <c r="C10" s="93">
        <f>C11+C19+C20+C26+C45</f>
        <v>3576691.5320000006</v>
      </c>
      <c r="D10" s="93">
        <f>D11+D19+D20+D26+D45</f>
        <v>4781375.6014999999</v>
      </c>
      <c r="E10" s="31">
        <f>D10-C10</f>
        <v>1204684.0694999993</v>
      </c>
      <c r="F10" s="30">
        <f>D10/C10*100</f>
        <v>133.68151988288375</v>
      </c>
      <c r="G10" s="93">
        <f>G45+G46</f>
        <v>915.92600000000004</v>
      </c>
      <c r="H10" s="93">
        <f>H45+H46</f>
        <v>407.81599999999997</v>
      </c>
      <c r="I10" s="31">
        <f t="shared" ref="I10:I72" si="0">SUM(H10-G10)</f>
        <v>-508.11000000000007</v>
      </c>
      <c r="J10" s="32">
        <f>H10/G10*100</f>
        <v>44.524994377275014</v>
      </c>
    </row>
    <row r="11" spans="1:10" s="95" customFormat="1" ht="26.45" customHeight="1">
      <c r="A11" s="74">
        <v>11000000</v>
      </c>
      <c r="B11" s="27" t="s">
        <v>314</v>
      </c>
      <c r="C11" s="11">
        <f>C12+C17</f>
        <v>2425644.1840000004</v>
      </c>
      <c r="D11" s="11">
        <f>D12+D17</f>
        <v>3940302.5860000001</v>
      </c>
      <c r="E11" s="12">
        <f t="shared" ref="E11:E73" si="1">D11-C11</f>
        <v>1514658.4019999998</v>
      </c>
      <c r="F11" s="13">
        <f t="shared" ref="F11:F73" si="2">D11/C11*100</f>
        <v>162.44355260309686</v>
      </c>
      <c r="G11" s="11"/>
      <c r="H11" s="11"/>
      <c r="I11" s="12"/>
      <c r="J11" s="14"/>
    </row>
    <row r="12" spans="1:10" s="95" customFormat="1">
      <c r="A12" s="74">
        <v>11010000</v>
      </c>
      <c r="B12" s="27" t="s">
        <v>315</v>
      </c>
      <c r="C12" s="96">
        <f>SUM(C13:C16)</f>
        <v>2423592.9400000004</v>
      </c>
      <c r="D12" s="96">
        <f>SUM(D13:D16)</f>
        <v>3930374.733</v>
      </c>
      <c r="E12" s="12">
        <f t="shared" si="1"/>
        <v>1506781.7929999996</v>
      </c>
      <c r="F12" s="13">
        <f t="shared" si="2"/>
        <v>162.1714054423677</v>
      </c>
      <c r="G12" s="11"/>
      <c r="H12" s="11"/>
      <c r="I12" s="12"/>
      <c r="J12" s="14"/>
    </row>
    <row r="13" spans="1:10" s="95" customFormat="1" ht="41.45" customHeight="1">
      <c r="A13" s="74">
        <v>11010100</v>
      </c>
      <c r="B13" s="27" t="s">
        <v>316</v>
      </c>
      <c r="C13" s="11">
        <v>1985369.115</v>
      </c>
      <c r="D13" s="96">
        <v>1651322.3219999999</v>
      </c>
      <c r="E13" s="12">
        <f t="shared" si="1"/>
        <v>-334046.79300000006</v>
      </c>
      <c r="F13" s="13">
        <f t="shared" si="2"/>
        <v>83.174574920291334</v>
      </c>
      <c r="G13" s="11"/>
      <c r="H13" s="11"/>
      <c r="I13" s="12"/>
      <c r="J13" s="14"/>
    </row>
    <row r="14" spans="1:10" s="95" customFormat="1" ht="65.25" customHeight="1">
      <c r="A14" s="97">
        <v>11010200</v>
      </c>
      <c r="B14" s="27" t="s">
        <v>317</v>
      </c>
      <c r="C14" s="11">
        <v>346352.41700000002</v>
      </c>
      <c r="D14" s="96">
        <v>2231282.6189999999</v>
      </c>
      <c r="E14" s="12">
        <f t="shared" si="1"/>
        <v>1884930.202</v>
      </c>
      <c r="F14" s="13" t="s">
        <v>463</v>
      </c>
      <c r="G14" s="11"/>
      <c r="H14" s="11"/>
      <c r="I14" s="12"/>
      <c r="J14" s="14"/>
    </row>
    <row r="15" spans="1:10" s="95" customFormat="1" ht="41.45" customHeight="1">
      <c r="A15" s="97">
        <v>11010400</v>
      </c>
      <c r="B15" s="27" t="s">
        <v>318</v>
      </c>
      <c r="C15" s="11">
        <v>53430.231</v>
      </c>
      <c r="D15" s="96">
        <v>37518.347999999998</v>
      </c>
      <c r="E15" s="12">
        <f t="shared" si="1"/>
        <v>-15911.883000000002</v>
      </c>
      <c r="F15" s="13">
        <f t="shared" si="2"/>
        <v>70.219325834469998</v>
      </c>
      <c r="G15" s="11"/>
      <c r="H15" s="11"/>
      <c r="I15" s="12"/>
      <c r="J15" s="14"/>
    </row>
    <row r="16" spans="1:10" s="95" customFormat="1" ht="39" customHeight="1">
      <c r="A16" s="97">
        <v>11010500</v>
      </c>
      <c r="B16" s="27" t="s">
        <v>319</v>
      </c>
      <c r="C16" s="11">
        <v>38441.177000000003</v>
      </c>
      <c r="D16" s="96">
        <v>10251.444</v>
      </c>
      <c r="E16" s="12">
        <f t="shared" si="1"/>
        <v>-28189.733000000004</v>
      </c>
      <c r="F16" s="13">
        <f t="shared" si="2"/>
        <v>26.667872318269541</v>
      </c>
      <c r="G16" s="11"/>
      <c r="H16" s="11"/>
      <c r="I16" s="12"/>
      <c r="J16" s="14"/>
    </row>
    <row r="17" spans="1:10" s="95" customFormat="1">
      <c r="A17" s="74">
        <v>11020000</v>
      </c>
      <c r="B17" s="27" t="s">
        <v>320</v>
      </c>
      <c r="C17" s="96">
        <f>C18</f>
        <v>2051.2440000000001</v>
      </c>
      <c r="D17" s="96">
        <f>D18</f>
        <v>9927.8529999999992</v>
      </c>
      <c r="E17" s="12">
        <f t="shared" si="1"/>
        <v>7876.6089999999986</v>
      </c>
      <c r="F17" s="13" t="s">
        <v>459</v>
      </c>
      <c r="G17" s="11"/>
      <c r="H17" s="11"/>
      <c r="I17" s="12"/>
      <c r="J17" s="14"/>
    </row>
    <row r="18" spans="1:10" s="98" customFormat="1" ht="24.6" customHeight="1">
      <c r="A18" s="74">
        <v>11020200</v>
      </c>
      <c r="B18" s="27" t="s">
        <v>321</v>
      </c>
      <c r="C18" s="11">
        <v>2051.2440000000001</v>
      </c>
      <c r="D18" s="96">
        <v>9927.8529999999992</v>
      </c>
      <c r="E18" s="12">
        <f t="shared" si="1"/>
        <v>7876.6089999999986</v>
      </c>
      <c r="F18" s="13" t="s">
        <v>459</v>
      </c>
      <c r="G18" s="11"/>
      <c r="H18" s="11"/>
      <c r="I18" s="12"/>
      <c r="J18" s="14"/>
    </row>
    <row r="19" spans="1:10" s="95" customFormat="1" ht="22.9" customHeight="1">
      <c r="A19" s="99">
        <v>13000000</v>
      </c>
      <c r="B19" s="47" t="s">
        <v>322</v>
      </c>
      <c r="C19" s="48">
        <v>19.79</v>
      </c>
      <c r="D19" s="96">
        <v>16.303000000000001</v>
      </c>
      <c r="E19" s="12">
        <f t="shared" si="1"/>
        <v>-3.4869999999999983</v>
      </c>
      <c r="F19" s="13">
        <f t="shared" si="2"/>
        <v>82.379989893885806</v>
      </c>
      <c r="G19" s="11"/>
      <c r="H19" s="11"/>
      <c r="I19" s="12"/>
      <c r="J19" s="14"/>
    </row>
    <row r="20" spans="1:10" s="95" customFormat="1" ht="22.15" customHeight="1">
      <c r="A20" s="99">
        <v>14000000</v>
      </c>
      <c r="B20" s="27" t="s">
        <v>323</v>
      </c>
      <c r="C20" s="48">
        <f>C21+C23+C25</f>
        <v>221596.74400000001</v>
      </c>
      <c r="D20" s="48">
        <f>D21+D23+D25</f>
        <v>184647.677</v>
      </c>
      <c r="E20" s="12">
        <f t="shared" si="1"/>
        <v>-36949.06700000001</v>
      </c>
      <c r="F20" s="13">
        <f t="shared" si="2"/>
        <v>83.325988309647727</v>
      </c>
      <c r="G20" s="11"/>
      <c r="H20" s="11"/>
      <c r="I20" s="12"/>
      <c r="J20" s="14"/>
    </row>
    <row r="21" spans="1:10" s="95" customFormat="1" ht="22.15" customHeight="1">
      <c r="A21" s="100" t="s">
        <v>324</v>
      </c>
      <c r="B21" s="27" t="s">
        <v>325</v>
      </c>
      <c r="C21" s="48">
        <f>C22</f>
        <v>24650.107</v>
      </c>
      <c r="D21" s="48">
        <f>D22</f>
        <v>4400.2349999999997</v>
      </c>
      <c r="E21" s="12">
        <f t="shared" si="1"/>
        <v>-20249.871999999999</v>
      </c>
      <c r="F21" s="13">
        <f t="shared" si="2"/>
        <v>17.850774440857396</v>
      </c>
      <c r="G21" s="11"/>
      <c r="H21" s="11"/>
      <c r="I21" s="12"/>
      <c r="J21" s="14"/>
    </row>
    <row r="22" spans="1:10" s="95" customFormat="1" ht="21" customHeight="1">
      <c r="A22" s="100" t="s">
        <v>326</v>
      </c>
      <c r="B22" s="27" t="s">
        <v>327</v>
      </c>
      <c r="C22" s="48">
        <v>24650.107</v>
      </c>
      <c r="D22" s="96">
        <v>4400.2349999999997</v>
      </c>
      <c r="E22" s="12">
        <f t="shared" si="1"/>
        <v>-20249.871999999999</v>
      </c>
      <c r="F22" s="13">
        <f t="shared" si="2"/>
        <v>17.850774440857396</v>
      </c>
      <c r="G22" s="11"/>
      <c r="H22" s="11"/>
      <c r="I22" s="12"/>
      <c r="J22" s="14"/>
    </row>
    <row r="23" spans="1:10" s="95" customFormat="1" ht="27" customHeight="1">
      <c r="A23" s="100" t="s">
        <v>328</v>
      </c>
      <c r="B23" s="27" t="s">
        <v>329</v>
      </c>
      <c r="C23" s="48">
        <v>83748.717999999993</v>
      </c>
      <c r="D23" s="48">
        <f>D24</f>
        <v>21587.403999999999</v>
      </c>
      <c r="E23" s="12">
        <f t="shared" si="1"/>
        <v>-62161.313999999998</v>
      </c>
      <c r="F23" s="13">
        <f t="shared" si="2"/>
        <v>25.776399347390605</v>
      </c>
      <c r="G23" s="11"/>
      <c r="H23" s="11"/>
      <c r="I23" s="12"/>
      <c r="J23" s="14"/>
    </row>
    <row r="24" spans="1:10" s="95" customFormat="1" ht="19.149999999999999" customHeight="1">
      <c r="A24" s="100" t="s">
        <v>330</v>
      </c>
      <c r="B24" s="27" t="s">
        <v>327</v>
      </c>
      <c r="C24" s="48">
        <v>83748.717999999993</v>
      </c>
      <c r="D24" s="96">
        <v>21587.403999999999</v>
      </c>
      <c r="E24" s="12">
        <f t="shared" si="1"/>
        <v>-62161.313999999998</v>
      </c>
      <c r="F24" s="13">
        <f t="shared" si="2"/>
        <v>25.776399347390605</v>
      </c>
      <c r="G24" s="11"/>
      <c r="H24" s="11"/>
      <c r="I24" s="12"/>
      <c r="J24" s="14"/>
    </row>
    <row r="25" spans="1:10" s="95" customFormat="1" ht="23.45" customHeight="1">
      <c r="A25" s="74">
        <v>14040000</v>
      </c>
      <c r="B25" s="27" t="s">
        <v>331</v>
      </c>
      <c r="C25" s="11">
        <v>113197.91899999999</v>
      </c>
      <c r="D25" s="96">
        <v>158660.038</v>
      </c>
      <c r="E25" s="12">
        <f t="shared" si="1"/>
        <v>45462.119000000006</v>
      </c>
      <c r="F25" s="13">
        <f t="shared" si="2"/>
        <v>140.16162081566182</v>
      </c>
      <c r="G25" s="11"/>
      <c r="H25" s="11"/>
      <c r="I25" s="12"/>
      <c r="J25" s="14"/>
    </row>
    <row r="26" spans="1:10" s="95" customFormat="1" ht="51.75" customHeight="1">
      <c r="A26" s="74">
        <v>18000000</v>
      </c>
      <c r="B26" s="27" t="s">
        <v>332</v>
      </c>
      <c r="C26" s="11">
        <f>C27+C38+C41</f>
        <v>929430.81400000001</v>
      </c>
      <c r="D26" s="11">
        <f>D27+D38+D41</f>
        <v>656409.0355</v>
      </c>
      <c r="E26" s="12">
        <f t="shared" si="1"/>
        <v>-273021.77850000001</v>
      </c>
      <c r="F26" s="13">
        <f t="shared" si="2"/>
        <v>70.624841097639788</v>
      </c>
      <c r="G26" s="11"/>
      <c r="H26" s="11"/>
      <c r="I26" s="12"/>
      <c r="J26" s="14"/>
    </row>
    <row r="27" spans="1:10" s="95" customFormat="1" ht="23.45" customHeight="1">
      <c r="A27" s="74">
        <v>18010000</v>
      </c>
      <c r="B27" s="27" t="s">
        <v>333</v>
      </c>
      <c r="C27" s="11">
        <f>SUM(C28:C37)</f>
        <v>408657.00700000004</v>
      </c>
      <c r="D27" s="11">
        <f>SUM(D28:D37)</f>
        <v>184620.67050000001</v>
      </c>
      <c r="E27" s="12">
        <f t="shared" si="1"/>
        <v>-224036.33650000003</v>
      </c>
      <c r="F27" s="13">
        <f t="shared" si="2"/>
        <v>45.177414638090369</v>
      </c>
      <c r="G27" s="11"/>
      <c r="H27" s="11"/>
      <c r="I27" s="12"/>
      <c r="J27" s="14"/>
    </row>
    <row r="28" spans="1:10" s="95" customFormat="1" ht="40.9" customHeight="1">
      <c r="A28" s="74">
        <v>18010100</v>
      </c>
      <c r="B28" s="27" t="s">
        <v>334</v>
      </c>
      <c r="C28" s="11">
        <v>242.28899999999999</v>
      </c>
      <c r="D28" s="11">
        <v>224.22300000000001</v>
      </c>
      <c r="E28" s="12">
        <f t="shared" si="1"/>
        <v>-18.065999999999974</v>
      </c>
      <c r="F28" s="13">
        <f t="shared" si="2"/>
        <v>92.543615269368402</v>
      </c>
      <c r="G28" s="11"/>
      <c r="H28" s="11"/>
      <c r="I28" s="12"/>
      <c r="J28" s="14"/>
    </row>
    <row r="29" spans="1:10" s="95" customFormat="1" ht="40.15" customHeight="1">
      <c r="A29" s="65">
        <v>18010200</v>
      </c>
      <c r="B29" s="27" t="s">
        <v>335</v>
      </c>
      <c r="C29" s="11">
        <v>2683.797</v>
      </c>
      <c r="D29" s="11">
        <v>115.3335</v>
      </c>
      <c r="E29" s="12">
        <f t="shared" si="1"/>
        <v>-2568.4634999999998</v>
      </c>
      <c r="F29" s="13">
        <f t="shared" si="2"/>
        <v>4.2974002877266795</v>
      </c>
      <c r="G29" s="11"/>
      <c r="H29" s="11"/>
      <c r="I29" s="12"/>
      <c r="J29" s="14"/>
    </row>
    <row r="30" spans="1:10" s="95" customFormat="1" ht="42.6" customHeight="1">
      <c r="A30" s="74">
        <v>18010300</v>
      </c>
      <c r="B30" s="27" t="s">
        <v>336</v>
      </c>
      <c r="C30" s="11">
        <v>4877.21</v>
      </c>
      <c r="D30" s="11">
        <v>396.26900000000001</v>
      </c>
      <c r="E30" s="12">
        <f t="shared" si="1"/>
        <v>-4480.9409999999998</v>
      </c>
      <c r="F30" s="13">
        <f t="shared" si="2"/>
        <v>8.1249115785459303</v>
      </c>
      <c r="G30" s="11"/>
      <c r="H30" s="11"/>
      <c r="I30" s="12"/>
      <c r="J30" s="14"/>
    </row>
    <row r="31" spans="1:10" s="95" customFormat="1" ht="41.45" customHeight="1">
      <c r="A31" s="74">
        <v>18010400</v>
      </c>
      <c r="B31" s="27" t="s">
        <v>337</v>
      </c>
      <c r="C31" s="11">
        <v>52813.66</v>
      </c>
      <c r="D31" s="11">
        <v>31698.7</v>
      </c>
      <c r="E31" s="12">
        <f t="shared" si="1"/>
        <v>-21114.960000000003</v>
      </c>
      <c r="F31" s="13">
        <f t="shared" si="2"/>
        <v>60.019888793921872</v>
      </c>
      <c r="G31" s="11"/>
      <c r="H31" s="11"/>
      <c r="I31" s="12"/>
      <c r="J31" s="14"/>
    </row>
    <row r="32" spans="1:10" s="95" customFormat="1" ht="22.15" customHeight="1">
      <c r="A32" s="74">
        <v>18010500</v>
      </c>
      <c r="B32" s="27" t="s">
        <v>338</v>
      </c>
      <c r="C32" s="11">
        <v>112073.606</v>
      </c>
      <c r="D32" s="11">
        <v>63249.053</v>
      </c>
      <c r="E32" s="12">
        <f t="shared" si="1"/>
        <v>-48824.553</v>
      </c>
      <c r="F32" s="13">
        <f t="shared" si="2"/>
        <v>56.435279685745101</v>
      </c>
      <c r="G32" s="11"/>
      <c r="H32" s="11"/>
      <c r="I32" s="12"/>
      <c r="J32" s="14"/>
    </row>
    <row r="33" spans="1:10" s="95" customFormat="1" ht="22.9" customHeight="1">
      <c r="A33" s="74">
        <v>18010600</v>
      </c>
      <c r="B33" s="27" t="s">
        <v>339</v>
      </c>
      <c r="C33" s="11">
        <v>202445.495</v>
      </c>
      <c r="D33" s="11">
        <v>82971.623999999996</v>
      </c>
      <c r="E33" s="12">
        <f t="shared" si="1"/>
        <v>-119473.871</v>
      </c>
      <c r="F33" s="13">
        <f t="shared" si="2"/>
        <v>40.984672936288355</v>
      </c>
      <c r="G33" s="11"/>
      <c r="H33" s="11"/>
      <c r="I33" s="12"/>
      <c r="J33" s="14"/>
    </row>
    <row r="34" spans="1:10" s="95" customFormat="1" ht="21" customHeight="1">
      <c r="A34" s="74">
        <v>18010700</v>
      </c>
      <c r="B34" s="27" t="s">
        <v>340</v>
      </c>
      <c r="C34" s="11">
        <v>5602.8270000000002</v>
      </c>
      <c r="D34" s="11">
        <v>314.26600000000002</v>
      </c>
      <c r="E34" s="12">
        <f t="shared" si="1"/>
        <v>-5288.5610000000006</v>
      </c>
      <c r="F34" s="13">
        <f t="shared" si="2"/>
        <v>5.6090612828131228</v>
      </c>
      <c r="G34" s="11"/>
      <c r="H34" s="11"/>
      <c r="I34" s="12"/>
      <c r="J34" s="14"/>
    </row>
    <row r="35" spans="1:10" s="95" customFormat="1" ht="23.45" customHeight="1">
      <c r="A35" s="74">
        <v>18010900</v>
      </c>
      <c r="B35" s="27" t="s">
        <v>341</v>
      </c>
      <c r="C35" s="11">
        <v>26148.814999999999</v>
      </c>
      <c r="D35" s="11">
        <v>4952.9849999999997</v>
      </c>
      <c r="E35" s="12">
        <f t="shared" si="1"/>
        <v>-21195.829999999998</v>
      </c>
      <c r="F35" s="13">
        <f t="shared" si="2"/>
        <v>18.941527560617946</v>
      </c>
      <c r="G35" s="11"/>
      <c r="H35" s="11"/>
      <c r="I35" s="12"/>
      <c r="J35" s="14"/>
    </row>
    <row r="36" spans="1:10" s="95" customFormat="1" ht="21" customHeight="1">
      <c r="A36" s="74">
        <v>18011000</v>
      </c>
      <c r="B36" s="27" t="s">
        <v>342</v>
      </c>
      <c r="C36" s="11">
        <v>884.92700000000002</v>
      </c>
      <c r="D36" s="11">
        <v>174.31800000000001</v>
      </c>
      <c r="E36" s="12">
        <f t="shared" si="1"/>
        <v>-710.60900000000004</v>
      </c>
      <c r="F36" s="13">
        <f t="shared" si="2"/>
        <v>19.698574006669478</v>
      </c>
      <c r="G36" s="11"/>
      <c r="H36" s="11"/>
      <c r="I36" s="12"/>
      <c r="J36" s="14"/>
    </row>
    <row r="37" spans="1:10" s="95" customFormat="1" ht="22.15" customHeight="1">
      <c r="A37" s="74">
        <v>18011100</v>
      </c>
      <c r="B37" s="27" t="s">
        <v>343</v>
      </c>
      <c r="C37" s="11">
        <v>884.38099999999997</v>
      </c>
      <c r="D37" s="11">
        <v>523.899</v>
      </c>
      <c r="E37" s="12">
        <f t="shared" si="1"/>
        <v>-360.48199999999997</v>
      </c>
      <c r="F37" s="13">
        <f t="shared" si="2"/>
        <v>59.239060992943095</v>
      </c>
      <c r="G37" s="11"/>
      <c r="H37" s="11"/>
      <c r="I37" s="12"/>
      <c r="J37" s="14"/>
    </row>
    <row r="38" spans="1:10" s="95" customFormat="1" ht="21" customHeight="1">
      <c r="A38" s="74">
        <v>18030000</v>
      </c>
      <c r="B38" s="27" t="s">
        <v>344</v>
      </c>
      <c r="C38" s="11">
        <f>C39+C40</f>
        <v>3238.9120000000003</v>
      </c>
      <c r="D38" s="11">
        <f>D39+D40</f>
        <v>563.43899999999996</v>
      </c>
      <c r="E38" s="12">
        <f t="shared" si="1"/>
        <v>-2675.4730000000004</v>
      </c>
      <c r="F38" s="13">
        <f t="shared" si="2"/>
        <v>17.395934190246599</v>
      </c>
      <c r="G38" s="11"/>
      <c r="H38" s="11"/>
      <c r="I38" s="12"/>
      <c r="J38" s="14"/>
    </row>
    <row r="39" spans="1:10" s="95" customFormat="1" ht="21.6" customHeight="1">
      <c r="A39" s="74">
        <v>18030100</v>
      </c>
      <c r="B39" s="27" t="s">
        <v>345</v>
      </c>
      <c r="C39" s="11">
        <v>1703.9760000000001</v>
      </c>
      <c r="D39" s="11">
        <v>162.14099999999999</v>
      </c>
      <c r="E39" s="12">
        <f t="shared" si="1"/>
        <v>-1541.835</v>
      </c>
      <c r="F39" s="13">
        <f t="shared" si="2"/>
        <v>9.5154509218439678</v>
      </c>
      <c r="G39" s="11"/>
      <c r="H39" s="11"/>
      <c r="I39" s="12"/>
      <c r="J39" s="14"/>
    </row>
    <row r="40" spans="1:10" s="95" customFormat="1" ht="22.15" customHeight="1">
      <c r="A40" s="74">
        <v>18030200</v>
      </c>
      <c r="B40" s="27" t="s">
        <v>346</v>
      </c>
      <c r="C40" s="11">
        <v>1534.9359999999999</v>
      </c>
      <c r="D40" s="11">
        <v>401.298</v>
      </c>
      <c r="E40" s="12">
        <f t="shared" si="1"/>
        <v>-1133.6379999999999</v>
      </c>
      <c r="F40" s="13">
        <f t="shared" si="2"/>
        <v>26.144282237174711</v>
      </c>
      <c r="G40" s="11"/>
      <c r="H40" s="11"/>
      <c r="I40" s="12"/>
      <c r="J40" s="14"/>
    </row>
    <row r="41" spans="1:10" s="95" customFormat="1" ht="22.9" customHeight="1">
      <c r="A41" s="74">
        <v>18050000</v>
      </c>
      <c r="B41" s="27" t="s">
        <v>347</v>
      </c>
      <c r="C41" s="11">
        <f>C42+C43+C44</f>
        <v>517534.89500000002</v>
      </c>
      <c r="D41" s="11">
        <f>D42+D43+D44</f>
        <v>471224.92600000004</v>
      </c>
      <c r="E41" s="12">
        <f t="shared" si="1"/>
        <v>-46309.968999999983</v>
      </c>
      <c r="F41" s="13">
        <f t="shared" si="2"/>
        <v>91.051817095347758</v>
      </c>
      <c r="G41" s="11"/>
      <c r="H41" s="11"/>
      <c r="I41" s="12"/>
      <c r="J41" s="14"/>
    </row>
    <row r="42" spans="1:10" s="95" customFormat="1" ht="23.45" customHeight="1">
      <c r="A42" s="74">
        <v>18050300</v>
      </c>
      <c r="B42" s="27" t="s">
        <v>348</v>
      </c>
      <c r="C42" s="11">
        <v>95251.288</v>
      </c>
      <c r="D42" s="11">
        <v>105368.02499999999</v>
      </c>
      <c r="E42" s="12">
        <f t="shared" si="1"/>
        <v>10116.736999999994</v>
      </c>
      <c r="F42" s="13">
        <f t="shared" si="2"/>
        <v>110.62110257238726</v>
      </c>
      <c r="G42" s="11"/>
      <c r="H42" s="11"/>
      <c r="I42" s="12"/>
      <c r="J42" s="14"/>
    </row>
    <row r="43" spans="1:10" s="95" customFormat="1" ht="23.45" customHeight="1">
      <c r="A43" s="74">
        <v>18050400</v>
      </c>
      <c r="B43" s="27" t="s">
        <v>349</v>
      </c>
      <c r="C43" s="11">
        <v>422283.60700000002</v>
      </c>
      <c r="D43" s="11">
        <v>365823.56599999999</v>
      </c>
      <c r="E43" s="12">
        <f t="shared" si="1"/>
        <v>-56460.041000000027</v>
      </c>
      <c r="F43" s="13">
        <f t="shared" si="2"/>
        <v>86.629828848648629</v>
      </c>
      <c r="G43" s="11"/>
      <c r="H43" s="11"/>
      <c r="I43" s="12"/>
      <c r="J43" s="14"/>
    </row>
    <row r="44" spans="1:10" s="95" customFormat="1" ht="38.450000000000003" customHeight="1">
      <c r="A44" s="74">
        <v>18050500</v>
      </c>
      <c r="B44" s="27" t="s">
        <v>350</v>
      </c>
      <c r="C44" s="11"/>
      <c r="D44" s="11">
        <v>33.335000000000001</v>
      </c>
      <c r="E44" s="12">
        <f t="shared" si="1"/>
        <v>33.335000000000001</v>
      </c>
      <c r="F44" s="13"/>
      <c r="G44" s="11"/>
      <c r="H44" s="11"/>
      <c r="I44" s="12"/>
      <c r="J44" s="14"/>
    </row>
    <row r="45" spans="1:10" s="95" customFormat="1" ht="21.95" customHeight="1">
      <c r="A45" s="74">
        <v>19010000</v>
      </c>
      <c r="B45" s="27" t="s">
        <v>351</v>
      </c>
      <c r="C45" s="11"/>
      <c r="D45" s="96"/>
      <c r="E45" s="12"/>
      <c r="F45" s="13"/>
      <c r="G45" s="11">
        <v>916.221</v>
      </c>
      <c r="H45" s="11">
        <v>407.81599999999997</v>
      </c>
      <c r="I45" s="12">
        <f>SUM(H45-G45)</f>
        <v>-508.40500000000003</v>
      </c>
      <c r="J45" s="14">
        <f t="shared" ref="J45:J86" si="3">H45/G45*100</f>
        <v>44.510658454674143</v>
      </c>
    </row>
    <row r="46" spans="1:10" s="95" customFormat="1" ht="21" customHeight="1">
      <c r="A46" s="74">
        <v>19050000</v>
      </c>
      <c r="B46" s="25" t="s">
        <v>352</v>
      </c>
      <c r="C46" s="11"/>
      <c r="D46" s="96"/>
      <c r="E46" s="12"/>
      <c r="F46" s="13"/>
      <c r="G46" s="11">
        <v>-0.29499999999999998</v>
      </c>
      <c r="H46" s="11"/>
      <c r="I46" s="12"/>
      <c r="J46" s="14"/>
    </row>
    <row r="47" spans="1:10" s="94" customFormat="1">
      <c r="A47" s="91">
        <v>20000000</v>
      </c>
      <c r="B47" s="101" t="s">
        <v>353</v>
      </c>
      <c r="C47" s="93">
        <f>C48+C56+C67</f>
        <v>57839.795000000006</v>
      </c>
      <c r="D47" s="93">
        <f>D48+D56+D67</f>
        <v>24076.988000000001</v>
      </c>
      <c r="E47" s="31">
        <f t="shared" si="1"/>
        <v>-33762.807000000001</v>
      </c>
      <c r="F47" s="30">
        <f t="shared" si="2"/>
        <v>41.627028588189155</v>
      </c>
      <c r="G47" s="93">
        <f>G67+G77</f>
        <v>85391.958999999988</v>
      </c>
      <c r="H47" s="93">
        <f>H67+H77</f>
        <v>126245.42600000001</v>
      </c>
      <c r="I47" s="31">
        <f t="shared" si="0"/>
        <v>40853.467000000019</v>
      </c>
      <c r="J47" s="32">
        <f t="shared" si="3"/>
        <v>147.84228805431204</v>
      </c>
    </row>
    <row r="48" spans="1:10" s="95" customFormat="1" ht="24.6" customHeight="1">
      <c r="A48" s="74">
        <v>21000000</v>
      </c>
      <c r="B48" s="27" t="s">
        <v>354</v>
      </c>
      <c r="C48" s="11">
        <f>C49</f>
        <v>6184.3640000000005</v>
      </c>
      <c r="D48" s="11">
        <f>D49</f>
        <v>2415.5020000000004</v>
      </c>
      <c r="E48" s="12">
        <f t="shared" si="1"/>
        <v>-3768.8620000000001</v>
      </c>
      <c r="F48" s="13">
        <f t="shared" si="2"/>
        <v>39.058211968118314</v>
      </c>
      <c r="G48" s="11"/>
      <c r="H48" s="11"/>
      <c r="I48" s="12"/>
      <c r="J48" s="14"/>
    </row>
    <row r="49" spans="1:10" s="95" customFormat="1">
      <c r="A49" s="74">
        <v>21080000</v>
      </c>
      <c r="B49" s="27" t="s">
        <v>355</v>
      </c>
      <c r="C49" s="96">
        <f>C50+C51+C52+C53+C54+C55</f>
        <v>6184.3640000000005</v>
      </c>
      <c r="D49" s="96">
        <f>D50+D51+D52+D53+D54+D55</f>
        <v>2415.5020000000004</v>
      </c>
      <c r="E49" s="12">
        <f t="shared" si="1"/>
        <v>-3768.8620000000001</v>
      </c>
      <c r="F49" s="13">
        <f t="shared" si="2"/>
        <v>39.058211968118314</v>
      </c>
      <c r="G49" s="11"/>
      <c r="H49" s="11"/>
      <c r="I49" s="12"/>
      <c r="J49" s="14"/>
    </row>
    <row r="50" spans="1:10" s="95" customFormat="1">
      <c r="A50" s="74">
        <v>21080500</v>
      </c>
      <c r="B50" s="27" t="s">
        <v>355</v>
      </c>
      <c r="C50" s="11">
        <v>404.03399999999999</v>
      </c>
      <c r="D50" s="96">
        <v>50.036999999999999</v>
      </c>
      <c r="E50" s="12">
        <f t="shared" si="1"/>
        <v>-353.99700000000001</v>
      </c>
      <c r="F50" s="13">
        <f t="shared" si="2"/>
        <v>12.384353792007603</v>
      </c>
      <c r="G50" s="11"/>
      <c r="H50" s="11"/>
      <c r="I50" s="12"/>
      <c r="J50" s="14"/>
    </row>
    <row r="51" spans="1:10" s="98" customFormat="1" ht="65.25" customHeight="1">
      <c r="A51" s="74">
        <v>21080900</v>
      </c>
      <c r="B51" s="47" t="s">
        <v>356</v>
      </c>
      <c r="C51" s="11">
        <v>0.1</v>
      </c>
      <c r="D51" s="96"/>
      <c r="E51" s="12">
        <f t="shared" si="1"/>
        <v>-0.1</v>
      </c>
      <c r="F51" s="13"/>
      <c r="G51" s="11"/>
      <c r="H51" s="11"/>
      <c r="I51" s="12"/>
      <c r="J51" s="14"/>
    </row>
    <row r="52" spans="1:10" s="95" customFormat="1" ht="39" customHeight="1">
      <c r="A52" s="74">
        <v>21081100</v>
      </c>
      <c r="B52" s="27" t="s">
        <v>357</v>
      </c>
      <c r="C52" s="11">
        <v>2925.7979999999998</v>
      </c>
      <c r="D52" s="96">
        <v>1781.23</v>
      </c>
      <c r="E52" s="12">
        <f t="shared" si="1"/>
        <v>-1144.5679999999998</v>
      </c>
      <c r="F52" s="13">
        <f t="shared" si="2"/>
        <v>60.880142784976954</v>
      </c>
      <c r="G52" s="11"/>
      <c r="H52" s="11"/>
      <c r="I52" s="12"/>
      <c r="J52" s="14"/>
    </row>
    <row r="53" spans="1:10" s="95" customFormat="1" ht="37.9" customHeight="1">
      <c r="A53" s="74">
        <v>21081500</v>
      </c>
      <c r="B53" s="47" t="s">
        <v>358</v>
      </c>
      <c r="C53" s="11">
        <v>2054.1759999999999</v>
      </c>
      <c r="D53" s="96">
        <v>399.096</v>
      </c>
      <c r="E53" s="12">
        <f t="shared" si="1"/>
        <v>-1655.08</v>
      </c>
      <c r="F53" s="13">
        <f t="shared" si="2"/>
        <v>19.428520243640275</v>
      </c>
      <c r="G53" s="11"/>
      <c r="H53" s="11"/>
      <c r="I53" s="12"/>
      <c r="J53" s="14"/>
    </row>
    <row r="54" spans="1:10" s="95" customFormat="1" ht="21.4" customHeight="1">
      <c r="A54" s="74">
        <v>21081700</v>
      </c>
      <c r="B54" s="47" t="s">
        <v>359</v>
      </c>
      <c r="C54" s="11">
        <v>730</v>
      </c>
      <c r="D54" s="96">
        <v>120</v>
      </c>
      <c r="E54" s="12">
        <f t="shared" si="1"/>
        <v>-610</v>
      </c>
      <c r="F54" s="13">
        <f t="shared" si="2"/>
        <v>16.43835616438356</v>
      </c>
      <c r="G54" s="11"/>
      <c r="H54" s="11"/>
      <c r="I54" s="12"/>
      <c r="J54" s="14"/>
    </row>
    <row r="55" spans="1:10" s="95" customFormat="1" ht="67.5" customHeight="1">
      <c r="A55" s="74">
        <v>21082400</v>
      </c>
      <c r="B55" s="25" t="s">
        <v>429</v>
      </c>
      <c r="C55" s="11">
        <v>70.256</v>
      </c>
      <c r="D55" s="96">
        <v>65.138999999999996</v>
      </c>
      <c r="E55" s="12">
        <f t="shared" si="1"/>
        <v>-5.1170000000000044</v>
      </c>
      <c r="F55" s="13">
        <f t="shared" si="2"/>
        <v>92.716636301525853</v>
      </c>
      <c r="G55" s="11"/>
      <c r="H55" s="11"/>
      <c r="I55" s="12"/>
      <c r="J55" s="14"/>
    </row>
    <row r="56" spans="1:10" s="95" customFormat="1" ht="21" customHeight="1">
      <c r="A56" s="74">
        <v>22000000</v>
      </c>
      <c r="B56" s="27" t="s">
        <v>360</v>
      </c>
      <c r="C56" s="11">
        <f>C57+C62+C63</f>
        <v>35812.689000000006</v>
      </c>
      <c r="D56" s="11">
        <f>D57+D62+D63</f>
        <v>12807.859</v>
      </c>
      <c r="E56" s="12">
        <f t="shared" si="1"/>
        <v>-23004.830000000005</v>
      </c>
      <c r="F56" s="13">
        <f t="shared" si="2"/>
        <v>35.763466407116198</v>
      </c>
      <c r="G56" s="11"/>
      <c r="H56" s="11"/>
      <c r="I56" s="12"/>
      <c r="J56" s="14"/>
    </row>
    <row r="57" spans="1:10" s="95" customFormat="1" ht="32.25" customHeight="1">
      <c r="A57" s="74">
        <v>22010000</v>
      </c>
      <c r="B57" s="27" t="s">
        <v>361</v>
      </c>
      <c r="C57" s="11">
        <f>C61+C60+C59+C58</f>
        <v>21949.625</v>
      </c>
      <c r="D57" s="11">
        <f>D61+D60+D59+D58</f>
        <v>7973.9869999999992</v>
      </c>
      <c r="E57" s="12">
        <f t="shared" si="1"/>
        <v>-13975.638000000001</v>
      </c>
      <c r="F57" s="13">
        <f t="shared" si="2"/>
        <v>36.328579645438133</v>
      </c>
      <c r="G57" s="11"/>
      <c r="H57" s="11"/>
      <c r="I57" s="12"/>
      <c r="J57" s="14"/>
    </row>
    <row r="58" spans="1:10" s="95" customFormat="1" ht="40.15" customHeight="1">
      <c r="A58" s="74">
        <v>22010300</v>
      </c>
      <c r="B58" s="47" t="s">
        <v>362</v>
      </c>
      <c r="C58" s="11">
        <v>678.63300000000004</v>
      </c>
      <c r="D58" s="11">
        <v>194.34299999999999</v>
      </c>
      <c r="E58" s="12">
        <f t="shared" si="1"/>
        <v>-484.29000000000008</v>
      </c>
      <c r="F58" s="13">
        <f t="shared" si="2"/>
        <v>28.637422583340328</v>
      </c>
      <c r="G58" s="11"/>
      <c r="H58" s="11"/>
      <c r="I58" s="12"/>
      <c r="J58" s="14"/>
    </row>
    <row r="59" spans="1:10" s="95" customFormat="1" ht="21.6" customHeight="1">
      <c r="A59" s="74">
        <v>22012500</v>
      </c>
      <c r="B59" s="27" t="s">
        <v>363</v>
      </c>
      <c r="C59" s="11">
        <v>20436.227999999999</v>
      </c>
      <c r="D59" s="11">
        <v>7626.0069999999996</v>
      </c>
      <c r="E59" s="12">
        <f t="shared" si="1"/>
        <v>-12810.221</v>
      </c>
      <c r="F59" s="13">
        <f t="shared" si="2"/>
        <v>37.316118219076436</v>
      </c>
      <c r="G59" s="11"/>
      <c r="H59" s="11"/>
      <c r="I59" s="12"/>
      <c r="J59" s="14"/>
    </row>
    <row r="60" spans="1:10" s="95" customFormat="1" ht="24" customHeight="1">
      <c r="A60" s="74">
        <v>22012600</v>
      </c>
      <c r="B60" s="47" t="s">
        <v>364</v>
      </c>
      <c r="C60" s="11">
        <v>774.673</v>
      </c>
      <c r="D60" s="11">
        <v>146.17500000000001</v>
      </c>
      <c r="E60" s="12">
        <f t="shared" si="1"/>
        <v>-628.49800000000005</v>
      </c>
      <c r="F60" s="13">
        <f t="shared" si="2"/>
        <v>18.869251929523813</v>
      </c>
      <c r="G60" s="11"/>
      <c r="H60" s="11"/>
      <c r="I60" s="12"/>
      <c r="J60" s="14"/>
    </row>
    <row r="61" spans="1:10" s="95" customFormat="1" ht="72" customHeight="1">
      <c r="A61" s="74">
        <v>22012900</v>
      </c>
      <c r="B61" s="102" t="s">
        <v>365</v>
      </c>
      <c r="C61" s="11">
        <v>60.091000000000001</v>
      </c>
      <c r="D61" s="11">
        <v>7.4619999999999997</v>
      </c>
      <c r="E61" s="12">
        <f t="shared" si="1"/>
        <v>-52.629000000000005</v>
      </c>
      <c r="F61" s="13">
        <f t="shared" si="2"/>
        <v>12.417832953354079</v>
      </c>
      <c r="G61" s="11"/>
      <c r="H61" s="11"/>
      <c r="I61" s="12"/>
      <c r="J61" s="14"/>
    </row>
    <row r="62" spans="1:10" s="95" customFormat="1" ht="39" customHeight="1">
      <c r="A62" s="74">
        <v>22080400</v>
      </c>
      <c r="B62" s="27" t="s">
        <v>366</v>
      </c>
      <c r="C62" s="11">
        <v>13228.194</v>
      </c>
      <c r="D62" s="11">
        <v>4726.9970000000003</v>
      </c>
      <c r="E62" s="12">
        <f t="shared" si="1"/>
        <v>-8501.1970000000001</v>
      </c>
      <c r="F62" s="13">
        <f t="shared" si="2"/>
        <v>35.734258206373454</v>
      </c>
      <c r="G62" s="11"/>
      <c r="H62" s="11"/>
      <c r="I62" s="12"/>
      <c r="J62" s="14"/>
    </row>
    <row r="63" spans="1:10" s="95" customFormat="1" ht="22.9" customHeight="1">
      <c r="A63" s="74">
        <v>22090000</v>
      </c>
      <c r="B63" s="27" t="s">
        <v>367</v>
      </c>
      <c r="C63" s="96">
        <f>C64+C65+C66</f>
        <v>634.87</v>
      </c>
      <c r="D63" s="96">
        <f>D64+D65+D66</f>
        <v>106.875</v>
      </c>
      <c r="E63" s="12">
        <f t="shared" si="1"/>
        <v>-527.995</v>
      </c>
      <c r="F63" s="13">
        <f t="shared" si="2"/>
        <v>16.834155023863154</v>
      </c>
      <c r="G63" s="11"/>
      <c r="H63" s="11"/>
      <c r="I63" s="12"/>
      <c r="J63" s="14"/>
    </row>
    <row r="64" spans="1:10" s="95" customFormat="1" ht="40.9" customHeight="1">
      <c r="A64" s="74">
        <v>22090100</v>
      </c>
      <c r="B64" s="27" t="s">
        <v>368</v>
      </c>
      <c r="C64" s="11">
        <v>350.67200000000003</v>
      </c>
      <c r="D64" s="11">
        <v>43.417000000000002</v>
      </c>
      <c r="E64" s="12">
        <f t="shared" si="1"/>
        <v>-307.255</v>
      </c>
      <c r="F64" s="13">
        <f t="shared" si="2"/>
        <v>12.381085458776292</v>
      </c>
      <c r="G64" s="11"/>
      <c r="H64" s="11"/>
      <c r="I64" s="12"/>
      <c r="J64" s="14"/>
    </row>
    <row r="65" spans="1:10" s="95" customFormat="1" ht="22.15" customHeight="1">
      <c r="A65" s="74">
        <v>22090200</v>
      </c>
      <c r="B65" s="27" t="s">
        <v>369</v>
      </c>
      <c r="C65" s="11">
        <v>4.2000000000000003E-2</v>
      </c>
      <c r="D65" s="11"/>
      <c r="E65" s="12">
        <f t="shared" si="1"/>
        <v>-4.2000000000000003E-2</v>
      </c>
      <c r="F65" s="13"/>
      <c r="G65" s="11"/>
      <c r="H65" s="11"/>
      <c r="I65" s="12"/>
      <c r="J65" s="14"/>
    </row>
    <row r="66" spans="1:10" s="95" customFormat="1" ht="40.9" customHeight="1">
      <c r="A66" s="74">
        <v>22090400</v>
      </c>
      <c r="B66" s="27" t="s">
        <v>370</v>
      </c>
      <c r="C66" s="11">
        <v>284.15600000000001</v>
      </c>
      <c r="D66" s="11">
        <v>63.457999999999998</v>
      </c>
      <c r="E66" s="12">
        <f t="shared" si="1"/>
        <v>-220.69800000000001</v>
      </c>
      <c r="F66" s="13">
        <f t="shared" si="2"/>
        <v>22.332099269415391</v>
      </c>
      <c r="G66" s="11"/>
      <c r="H66" s="11"/>
      <c r="I66" s="12"/>
      <c r="J66" s="14"/>
    </row>
    <row r="67" spans="1:10" s="95" customFormat="1" ht="21" customHeight="1">
      <c r="A67" s="74">
        <v>24000000</v>
      </c>
      <c r="B67" s="27" t="s">
        <v>371</v>
      </c>
      <c r="C67" s="11">
        <f>C68+C75+C76</f>
        <v>15842.741999999998</v>
      </c>
      <c r="D67" s="11">
        <f>D68+D75+D76</f>
        <v>8853.6270000000004</v>
      </c>
      <c r="E67" s="12">
        <f t="shared" si="1"/>
        <v>-6989.114999999998</v>
      </c>
      <c r="F67" s="13">
        <f t="shared" si="2"/>
        <v>55.884435913934603</v>
      </c>
      <c r="G67" s="11">
        <f>G68+G74+G75+G76</f>
        <v>1975.279</v>
      </c>
      <c r="H67" s="11">
        <f>H68+H74+H75+H76</f>
        <v>329.452</v>
      </c>
      <c r="I67" s="12">
        <f t="shared" si="0"/>
        <v>-1645.827</v>
      </c>
      <c r="J67" s="14">
        <f t="shared" si="3"/>
        <v>16.678757785609019</v>
      </c>
    </row>
    <row r="68" spans="1:10" s="95" customFormat="1">
      <c r="A68" s="74">
        <v>24060000</v>
      </c>
      <c r="B68" s="27" t="s">
        <v>355</v>
      </c>
      <c r="C68" s="11">
        <f>C69+C73+C71</f>
        <v>15842.741999999998</v>
      </c>
      <c r="D68" s="11">
        <f>D69+D73+D71</f>
        <v>8853.6270000000004</v>
      </c>
      <c r="E68" s="12">
        <f t="shared" si="1"/>
        <v>-6989.114999999998</v>
      </c>
      <c r="F68" s="13">
        <f t="shared" si="2"/>
        <v>55.884435913934603</v>
      </c>
      <c r="G68" s="11">
        <f>G70+G72</f>
        <v>1307.8699999999999</v>
      </c>
      <c r="H68" s="11">
        <f t="shared" ref="H68" si="4">H70+H72</f>
        <v>105.32299999999999</v>
      </c>
      <c r="I68" s="12">
        <f t="shared" si="0"/>
        <v>-1202.5469999999998</v>
      </c>
      <c r="J68" s="14">
        <f t="shared" si="3"/>
        <v>8.0530175017394701</v>
      </c>
    </row>
    <row r="69" spans="1:10" s="95" customFormat="1" ht="21" customHeight="1">
      <c r="A69" s="74">
        <v>24060300</v>
      </c>
      <c r="B69" s="27" t="s">
        <v>355</v>
      </c>
      <c r="C69" s="96">
        <v>6379.6549999999997</v>
      </c>
      <c r="D69" s="96">
        <v>8049.9139999999998</v>
      </c>
      <c r="E69" s="12">
        <f t="shared" si="1"/>
        <v>1670.259</v>
      </c>
      <c r="F69" s="13">
        <f t="shared" si="2"/>
        <v>126.18102389549277</v>
      </c>
      <c r="G69" s="11"/>
      <c r="H69" s="11"/>
      <c r="I69" s="12"/>
      <c r="J69" s="14"/>
    </row>
    <row r="70" spans="1:10" s="95" customFormat="1" ht="21" customHeight="1">
      <c r="A70" s="74">
        <v>24061600</v>
      </c>
      <c r="B70" s="102" t="s">
        <v>455</v>
      </c>
      <c r="C70" s="96"/>
      <c r="D70" s="96"/>
      <c r="E70" s="12"/>
      <c r="F70" s="13"/>
      <c r="G70" s="11">
        <v>579.97799999999995</v>
      </c>
      <c r="H70" s="11"/>
      <c r="I70" s="12">
        <f t="shared" si="0"/>
        <v>-579.97799999999995</v>
      </c>
      <c r="J70" s="14"/>
    </row>
    <row r="71" spans="1:10" s="95" customFormat="1" ht="58.5" customHeight="1">
      <c r="A71" s="74">
        <v>24061900</v>
      </c>
      <c r="B71" s="27" t="s">
        <v>451</v>
      </c>
      <c r="C71" s="96">
        <v>214.08799999999999</v>
      </c>
      <c r="D71" s="96"/>
      <c r="E71" s="12">
        <f t="shared" si="1"/>
        <v>-214.08799999999999</v>
      </c>
      <c r="F71" s="13"/>
      <c r="G71" s="11"/>
      <c r="H71" s="11"/>
      <c r="I71" s="12"/>
      <c r="J71" s="14"/>
    </row>
    <row r="72" spans="1:10" s="95" customFormat="1" ht="60.75" customHeight="1">
      <c r="A72" s="74">
        <v>24062100</v>
      </c>
      <c r="B72" s="27" t="s">
        <v>372</v>
      </c>
      <c r="C72" s="11"/>
      <c r="D72" s="96"/>
      <c r="E72" s="12"/>
      <c r="F72" s="13"/>
      <c r="G72" s="11">
        <v>727.89200000000005</v>
      </c>
      <c r="H72" s="11">
        <v>105.32299999999999</v>
      </c>
      <c r="I72" s="12">
        <f t="shared" si="0"/>
        <v>-622.56900000000007</v>
      </c>
      <c r="J72" s="14">
        <f t="shared" si="3"/>
        <v>14.469591642716226</v>
      </c>
    </row>
    <row r="73" spans="1:10" s="95" customFormat="1" ht="129.75" customHeight="1">
      <c r="A73" s="74">
        <v>24062200</v>
      </c>
      <c r="B73" s="102" t="s">
        <v>373</v>
      </c>
      <c r="C73" s="11">
        <v>9248.9989999999998</v>
      </c>
      <c r="D73" s="96">
        <v>803.71299999999997</v>
      </c>
      <c r="E73" s="12">
        <f t="shared" si="1"/>
        <v>-8445.2860000000001</v>
      </c>
      <c r="F73" s="13">
        <f t="shared" si="2"/>
        <v>8.6897295588419894</v>
      </c>
      <c r="G73" s="11"/>
      <c r="H73" s="11"/>
      <c r="I73" s="12"/>
      <c r="J73" s="14"/>
    </row>
    <row r="74" spans="1:10" s="95" customFormat="1" ht="37.5">
      <c r="A74" s="74">
        <v>24110700</v>
      </c>
      <c r="B74" s="27" t="s">
        <v>456</v>
      </c>
      <c r="C74" s="11"/>
      <c r="D74" s="96"/>
      <c r="E74" s="12"/>
      <c r="F74" s="13"/>
      <c r="G74" s="11">
        <v>1.6E-2</v>
      </c>
      <c r="H74" s="11">
        <v>2.4E-2</v>
      </c>
      <c r="I74" s="12">
        <f t="shared" ref="I74:I75" si="5">SUM(H74-G74)</f>
        <v>8.0000000000000002E-3</v>
      </c>
      <c r="J74" s="14">
        <f t="shared" si="3"/>
        <v>150</v>
      </c>
    </row>
    <row r="75" spans="1:10" s="95" customFormat="1" ht="38.450000000000003" customHeight="1">
      <c r="A75" s="74">
        <v>24110900</v>
      </c>
      <c r="B75" s="27" t="s">
        <v>374</v>
      </c>
      <c r="C75" s="11"/>
      <c r="D75" s="96"/>
      <c r="E75" s="12"/>
      <c r="F75" s="13"/>
      <c r="G75" s="11">
        <v>302.40199999999999</v>
      </c>
      <c r="H75" s="11">
        <v>224.10499999999999</v>
      </c>
      <c r="I75" s="12">
        <f t="shared" si="5"/>
        <v>-78.296999999999997</v>
      </c>
      <c r="J75" s="14">
        <f t="shared" si="3"/>
        <v>74.108306161996282</v>
      </c>
    </row>
    <row r="76" spans="1:10" s="95" customFormat="1" ht="22.15" customHeight="1">
      <c r="A76" s="74">
        <v>24170000</v>
      </c>
      <c r="B76" s="27" t="s">
        <v>375</v>
      </c>
      <c r="C76" s="11"/>
      <c r="D76" s="96"/>
      <c r="E76" s="12"/>
      <c r="F76" s="13"/>
      <c r="G76" s="11">
        <v>364.99099999999999</v>
      </c>
      <c r="H76" s="11"/>
      <c r="I76" s="12">
        <f t="shared" ref="I76:I113" si="6">SUM(H76-G76)</f>
        <v>-364.99099999999999</v>
      </c>
      <c r="J76" s="14">
        <f t="shared" si="3"/>
        <v>0</v>
      </c>
    </row>
    <row r="77" spans="1:10" s="95" customFormat="1">
      <c r="A77" s="74">
        <v>25000000</v>
      </c>
      <c r="B77" s="27" t="s">
        <v>376</v>
      </c>
      <c r="C77" s="11"/>
      <c r="D77" s="96"/>
      <c r="E77" s="12"/>
      <c r="F77" s="13"/>
      <c r="G77" s="51">
        <v>83416.679999999993</v>
      </c>
      <c r="H77" s="51">
        <v>125915.974</v>
      </c>
      <c r="I77" s="12">
        <f t="shared" si="6"/>
        <v>42499.294000000009</v>
      </c>
      <c r="J77" s="14">
        <f t="shared" si="3"/>
        <v>150.94819645183674</v>
      </c>
    </row>
    <row r="78" spans="1:10" s="94" customFormat="1">
      <c r="A78" s="91">
        <v>30000000</v>
      </c>
      <c r="B78" s="92" t="s">
        <v>377</v>
      </c>
      <c r="C78" s="93">
        <f>C79</f>
        <v>1779.1010000000001</v>
      </c>
      <c r="D78" s="93">
        <f>D79</f>
        <v>-3.8740000000000001</v>
      </c>
      <c r="E78" s="31">
        <f t="shared" ref="E78:E113" si="7">D78-C78</f>
        <v>-1782.9750000000001</v>
      </c>
      <c r="F78" s="30"/>
      <c r="G78" s="93">
        <f>G79+G83</f>
        <v>7458.5119999999997</v>
      </c>
      <c r="H78" s="93">
        <f>H79+H83</f>
        <v>103</v>
      </c>
      <c r="I78" s="31">
        <f t="shared" si="6"/>
        <v>-7355.5119999999997</v>
      </c>
      <c r="J78" s="32">
        <f t="shared" si="3"/>
        <v>1.3809725049715009</v>
      </c>
    </row>
    <row r="79" spans="1:10" s="95" customFormat="1" ht="24.6" customHeight="1">
      <c r="A79" s="74">
        <v>31000000</v>
      </c>
      <c r="B79" s="27" t="s">
        <v>378</v>
      </c>
      <c r="C79" s="96">
        <f>C80+C81</f>
        <v>1779.1010000000001</v>
      </c>
      <c r="D79" s="96">
        <f>D80+D81</f>
        <v>-3.8740000000000001</v>
      </c>
      <c r="E79" s="12">
        <f t="shared" si="7"/>
        <v>-1782.9750000000001</v>
      </c>
      <c r="F79" s="13"/>
      <c r="G79" s="96">
        <f>G82</f>
        <v>0.65900000000000003</v>
      </c>
      <c r="H79" s="96"/>
      <c r="I79" s="12">
        <f t="shared" si="6"/>
        <v>-0.65900000000000003</v>
      </c>
      <c r="J79" s="14"/>
    </row>
    <row r="80" spans="1:10" s="95" customFormat="1" ht="61.9" customHeight="1">
      <c r="A80" s="74">
        <v>31010200</v>
      </c>
      <c r="B80" s="27" t="s">
        <v>379</v>
      </c>
      <c r="C80" s="96">
        <v>1753.441</v>
      </c>
      <c r="D80" s="96">
        <v>-3.96</v>
      </c>
      <c r="E80" s="12">
        <f t="shared" si="7"/>
        <v>-1757.4010000000001</v>
      </c>
      <c r="F80" s="13"/>
      <c r="G80" s="96"/>
      <c r="H80" s="96"/>
      <c r="I80" s="12"/>
      <c r="J80" s="14"/>
    </row>
    <row r="81" spans="1:10" s="95" customFormat="1" ht="27.6" customHeight="1">
      <c r="A81" s="74">
        <v>31020000</v>
      </c>
      <c r="B81" s="27" t="s">
        <v>380</v>
      </c>
      <c r="C81" s="96">
        <v>25.66</v>
      </c>
      <c r="D81" s="96">
        <v>8.5999999999999993E-2</v>
      </c>
      <c r="E81" s="12">
        <f t="shared" si="7"/>
        <v>-25.574000000000002</v>
      </c>
      <c r="F81" s="13">
        <f t="shared" ref="F81:F113" si="8">D81/C81*100</f>
        <v>0.33515198752922831</v>
      </c>
      <c r="G81" s="96"/>
      <c r="H81" s="96"/>
      <c r="I81" s="12"/>
      <c r="J81" s="14"/>
    </row>
    <row r="82" spans="1:10" s="95" customFormat="1" ht="38.450000000000003" customHeight="1">
      <c r="A82" s="74">
        <v>31030000</v>
      </c>
      <c r="B82" s="27" t="s">
        <v>381</v>
      </c>
      <c r="C82" s="96"/>
      <c r="D82" s="96"/>
      <c r="E82" s="12"/>
      <c r="F82" s="13"/>
      <c r="G82" s="96">
        <v>0.65900000000000003</v>
      </c>
      <c r="H82" s="96"/>
      <c r="I82" s="12">
        <f t="shared" si="6"/>
        <v>-0.65900000000000003</v>
      </c>
      <c r="J82" s="14"/>
    </row>
    <row r="83" spans="1:10" s="95" customFormat="1" ht="21" customHeight="1">
      <c r="A83" s="74">
        <v>33010000</v>
      </c>
      <c r="B83" s="27" t="s">
        <v>382</v>
      </c>
      <c r="C83" s="96"/>
      <c r="D83" s="96"/>
      <c r="E83" s="12"/>
      <c r="F83" s="13"/>
      <c r="G83" s="96">
        <v>7457.8530000000001</v>
      </c>
      <c r="H83" s="96">
        <v>103</v>
      </c>
      <c r="I83" s="12">
        <f t="shared" si="6"/>
        <v>-7354.8530000000001</v>
      </c>
      <c r="J83" s="14">
        <f t="shared" si="3"/>
        <v>1.3810945321662949</v>
      </c>
    </row>
    <row r="84" spans="1:10" s="95" customFormat="1">
      <c r="A84" s="74">
        <v>50000000</v>
      </c>
      <c r="B84" s="116" t="s">
        <v>383</v>
      </c>
      <c r="C84" s="96"/>
      <c r="D84" s="96"/>
      <c r="E84" s="12"/>
      <c r="F84" s="13"/>
      <c r="G84" s="96">
        <v>82.424000000000007</v>
      </c>
      <c r="H84" s="96"/>
      <c r="I84" s="12">
        <f t="shared" si="6"/>
        <v>-82.424000000000007</v>
      </c>
      <c r="J84" s="14"/>
    </row>
    <row r="85" spans="1:10" s="95" customFormat="1" ht="39.6" customHeight="1">
      <c r="A85" s="74">
        <v>50110000</v>
      </c>
      <c r="B85" s="25" t="s">
        <v>384</v>
      </c>
      <c r="C85" s="96"/>
      <c r="D85" s="96"/>
      <c r="E85" s="12"/>
      <c r="F85" s="13"/>
      <c r="G85" s="96">
        <v>82.424000000000007</v>
      </c>
      <c r="H85" s="96"/>
      <c r="I85" s="12">
        <f t="shared" si="6"/>
        <v>-82.424000000000007</v>
      </c>
      <c r="J85" s="14"/>
    </row>
    <row r="86" spans="1:10" s="103" customFormat="1">
      <c r="A86" s="91"/>
      <c r="B86" s="92" t="s">
        <v>385</v>
      </c>
      <c r="C86" s="93">
        <f>C10+C47+C78</f>
        <v>3636310.4280000003</v>
      </c>
      <c r="D86" s="93">
        <f>D10+D47+D78</f>
        <v>4805448.7154999999</v>
      </c>
      <c r="E86" s="31">
        <f t="shared" si="7"/>
        <v>1169138.2874999996</v>
      </c>
      <c r="F86" s="30">
        <f t="shared" si="8"/>
        <v>132.15177336064332</v>
      </c>
      <c r="G86" s="93">
        <f>G10+G47+G78+G84</f>
        <v>93848.820999999996</v>
      </c>
      <c r="H86" s="93">
        <f>H10+H47+H78+H84</f>
        <v>126756.24200000001</v>
      </c>
      <c r="I86" s="31">
        <f t="shared" si="6"/>
        <v>32907.421000000017</v>
      </c>
      <c r="J86" s="32">
        <f t="shared" si="3"/>
        <v>135.06428812781783</v>
      </c>
    </row>
    <row r="87" spans="1:10" s="94" customFormat="1">
      <c r="A87" s="91">
        <v>40000000</v>
      </c>
      <c r="B87" s="92" t="s">
        <v>386</v>
      </c>
      <c r="C87" s="93">
        <f>C90+C100+C88</f>
        <v>997266.26</v>
      </c>
      <c r="D87" s="93">
        <f>D90+D100+D88+D98</f>
        <v>808817.99399999995</v>
      </c>
      <c r="E87" s="31">
        <f t="shared" si="7"/>
        <v>-188448.26600000006</v>
      </c>
      <c r="F87" s="30">
        <f t="shared" si="8"/>
        <v>81.103515323981782</v>
      </c>
      <c r="G87" s="93">
        <f>G90+G100</f>
        <v>378589.63099999999</v>
      </c>
      <c r="H87" s="93"/>
      <c r="I87" s="31">
        <f t="shared" si="6"/>
        <v>-378589.63099999999</v>
      </c>
      <c r="J87" s="32"/>
    </row>
    <row r="88" spans="1:10" s="95" customFormat="1">
      <c r="A88" s="97">
        <v>41020000</v>
      </c>
      <c r="B88" s="102" t="s">
        <v>494</v>
      </c>
      <c r="C88" s="96"/>
      <c r="D88" s="96">
        <f>D89</f>
        <v>3587.3</v>
      </c>
      <c r="E88" s="12">
        <f t="shared" si="7"/>
        <v>3587.3</v>
      </c>
      <c r="F88" s="13"/>
      <c r="G88" s="96"/>
      <c r="H88" s="96"/>
      <c r="I88" s="12"/>
      <c r="J88" s="14"/>
    </row>
    <row r="89" spans="1:10" s="95" customFormat="1" ht="56.25">
      <c r="A89" s="97">
        <v>41021000</v>
      </c>
      <c r="B89" s="102" t="s">
        <v>495</v>
      </c>
      <c r="C89" s="96"/>
      <c r="D89" s="96">
        <v>3587.3</v>
      </c>
      <c r="E89" s="12">
        <f t="shared" si="7"/>
        <v>3587.3</v>
      </c>
      <c r="F89" s="13"/>
      <c r="G89" s="96"/>
      <c r="H89" s="96"/>
      <c r="I89" s="12"/>
      <c r="J89" s="14"/>
    </row>
    <row r="90" spans="1:10" s="95" customFormat="1" ht="27" customHeight="1">
      <c r="A90" s="99">
        <v>41030000</v>
      </c>
      <c r="B90" s="47" t="s">
        <v>387</v>
      </c>
      <c r="C90" s="11">
        <f>C91+C92+C93+C94+C95+C96+C97</f>
        <v>902490.52099999995</v>
      </c>
      <c r="D90" s="11">
        <f>D91+D92+D93+D94+D95+D96+D97</f>
        <v>787661.1</v>
      </c>
      <c r="E90" s="12">
        <f t="shared" si="7"/>
        <v>-114829.42099999997</v>
      </c>
      <c r="F90" s="13">
        <f t="shared" si="8"/>
        <v>87.276384812023977</v>
      </c>
      <c r="G90" s="11">
        <f>SUM(G91:G97)</f>
        <v>1500</v>
      </c>
      <c r="H90" s="11"/>
      <c r="I90" s="12">
        <f t="shared" si="6"/>
        <v>-1500</v>
      </c>
      <c r="J90" s="14"/>
    </row>
    <row r="91" spans="1:10" s="95" customFormat="1" ht="41.45" customHeight="1">
      <c r="A91" s="99">
        <v>41032300</v>
      </c>
      <c r="B91" s="47" t="s">
        <v>398</v>
      </c>
      <c r="C91" s="11">
        <v>25000</v>
      </c>
      <c r="D91" s="96"/>
      <c r="E91" s="12">
        <f t="shared" si="7"/>
        <v>-25000</v>
      </c>
      <c r="F91" s="13"/>
      <c r="G91" s="96"/>
      <c r="H91" s="96"/>
      <c r="I91" s="12"/>
      <c r="J91" s="14"/>
    </row>
    <row r="92" spans="1:10" s="95" customFormat="1" ht="41.45" customHeight="1">
      <c r="A92" s="99">
        <v>41032500</v>
      </c>
      <c r="B92" s="47" t="s">
        <v>452</v>
      </c>
      <c r="C92" s="11">
        <v>24182.720000000001</v>
      </c>
      <c r="D92" s="96"/>
      <c r="E92" s="12">
        <f t="shared" si="7"/>
        <v>-24182.720000000001</v>
      </c>
      <c r="F92" s="13"/>
      <c r="G92" s="96"/>
      <c r="H92" s="96"/>
      <c r="I92" s="12"/>
      <c r="J92" s="14"/>
    </row>
    <row r="93" spans="1:10" s="95" customFormat="1" ht="41.45" customHeight="1">
      <c r="A93" s="99">
        <v>41032700</v>
      </c>
      <c r="B93" s="25" t="s">
        <v>430</v>
      </c>
      <c r="C93" s="11">
        <v>9247.4269999999997</v>
      </c>
      <c r="D93" s="96"/>
      <c r="E93" s="12">
        <f t="shared" si="7"/>
        <v>-9247.4269999999997</v>
      </c>
      <c r="F93" s="13"/>
      <c r="G93" s="96"/>
      <c r="H93" s="96"/>
      <c r="I93" s="12"/>
      <c r="J93" s="14"/>
    </row>
    <row r="94" spans="1:10" s="95" customFormat="1" ht="21" customHeight="1">
      <c r="A94" s="99">
        <v>41033900</v>
      </c>
      <c r="B94" s="47" t="s">
        <v>388</v>
      </c>
      <c r="C94" s="11">
        <v>778515.7</v>
      </c>
      <c r="D94" s="96">
        <v>787661.1</v>
      </c>
      <c r="E94" s="12">
        <f t="shared" si="7"/>
        <v>9145.4000000000233</v>
      </c>
      <c r="F94" s="13">
        <f t="shared" si="8"/>
        <v>101.17472261638399</v>
      </c>
      <c r="G94" s="96"/>
      <c r="H94" s="96"/>
      <c r="I94" s="12"/>
      <c r="J94" s="14"/>
    </row>
    <row r="95" spans="1:10" s="95" customFormat="1" ht="40.9" customHeight="1">
      <c r="A95" s="99">
        <v>41034500</v>
      </c>
      <c r="B95" s="47" t="s">
        <v>399</v>
      </c>
      <c r="C95" s="11">
        <v>58230.565000000002</v>
      </c>
      <c r="D95" s="96"/>
      <c r="E95" s="12">
        <f t="shared" si="7"/>
        <v>-58230.565000000002</v>
      </c>
      <c r="F95" s="13"/>
      <c r="G95" s="96">
        <v>1500</v>
      </c>
      <c r="H95" s="96"/>
      <c r="I95" s="12">
        <f t="shared" si="6"/>
        <v>-1500</v>
      </c>
      <c r="J95" s="14"/>
    </row>
    <row r="96" spans="1:10" s="95" customFormat="1" ht="40.9" customHeight="1">
      <c r="A96" s="99">
        <v>41034600</v>
      </c>
      <c r="B96" s="47" t="s">
        <v>453</v>
      </c>
      <c r="C96" s="11">
        <v>4377.4009999999998</v>
      </c>
      <c r="D96" s="96"/>
      <c r="E96" s="12">
        <f t="shared" si="7"/>
        <v>-4377.4009999999998</v>
      </c>
      <c r="F96" s="13"/>
      <c r="G96" s="96"/>
      <c r="H96" s="96"/>
      <c r="I96" s="12"/>
      <c r="J96" s="14"/>
    </row>
    <row r="97" spans="1:10" s="95" customFormat="1" ht="40.9" customHeight="1">
      <c r="A97" s="99">
        <v>41035600</v>
      </c>
      <c r="B97" s="25" t="s">
        <v>431</v>
      </c>
      <c r="C97" s="11">
        <v>2936.7080000000001</v>
      </c>
      <c r="D97" s="96"/>
      <c r="E97" s="12">
        <f t="shared" si="7"/>
        <v>-2936.7080000000001</v>
      </c>
      <c r="F97" s="13"/>
      <c r="G97" s="96"/>
      <c r="H97" s="96"/>
      <c r="I97" s="12"/>
      <c r="J97" s="14"/>
    </row>
    <row r="98" spans="1:10" s="95" customFormat="1">
      <c r="A98" s="97">
        <v>41040000</v>
      </c>
      <c r="B98" s="102" t="s">
        <v>496</v>
      </c>
      <c r="C98" s="11"/>
      <c r="D98" s="96">
        <f>D99</f>
        <v>1010.921</v>
      </c>
      <c r="E98" s="12">
        <f t="shared" si="7"/>
        <v>1010.921</v>
      </c>
      <c r="F98" s="13"/>
      <c r="G98" s="96"/>
      <c r="H98" s="96"/>
      <c r="I98" s="12"/>
      <c r="J98" s="14"/>
    </row>
    <row r="99" spans="1:10" s="95" customFormat="1">
      <c r="A99" s="97">
        <v>41040400</v>
      </c>
      <c r="B99" s="102" t="s">
        <v>497</v>
      </c>
      <c r="C99" s="11"/>
      <c r="D99" s="96">
        <v>1010.921</v>
      </c>
      <c r="E99" s="12">
        <f t="shared" si="7"/>
        <v>1010.921</v>
      </c>
      <c r="F99" s="13"/>
      <c r="G99" s="96"/>
      <c r="H99" s="96"/>
      <c r="I99" s="12"/>
      <c r="J99" s="14"/>
    </row>
    <row r="100" spans="1:10" s="95" customFormat="1" ht="24.6" customHeight="1">
      <c r="A100" s="104">
        <v>41050000</v>
      </c>
      <c r="B100" s="47" t="s">
        <v>389</v>
      </c>
      <c r="C100" s="96">
        <f>SUM(C101:C112)</f>
        <v>94775.739000000001</v>
      </c>
      <c r="D100" s="96">
        <f>SUM(D101:D112)</f>
        <v>16558.672999999999</v>
      </c>
      <c r="E100" s="12">
        <f t="shared" si="7"/>
        <v>-78217.066000000006</v>
      </c>
      <c r="F100" s="13">
        <f>D100/C100*100</f>
        <v>17.471425888855375</v>
      </c>
      <c r="G100" s="96">
        <f>SUM(G101:G112)</f>
        <v>377089.63099999999</v>
      </c>
      <c r="H100" s="96"/>
      <c r="I100" s="12">
        <f t="shared" si="6"/>
        <v>-377089.63099999999</v>
      </c>
      <c r="J100" s="14"/>
    </row>
    <row r="101" spans="1:10" s="95" customFormat="1" ht="174.75" customHeight="1">
      <c r="A101" s="104">
        <v>41050400</v>
      </c>
      <c r="B101" s="25" t="s">
        <v>440</v>
      </c>
      <c r="C101" s="96">
        <v>2429.0740000000001</v>
      </c>
      <c r="D101" s="96"/>
      <c r="E101" s="12">
        <f t="shared" si="7"/>
        <v>-2429.0740000000001</v>
      </c>
      <c r="F101" s="13"/>
      <c r="G101" s="96"/>
      <c r="H101" s="96"/>
      <c r="I101" s="12"/>
      <c r="J101" s="14"/>
    </row>
    <row r="102" spans="1:10" s="95" customFormat="1" ht="161.25" customHeight="1">
      <c r="A102" s="104">
        <v>41050500</v>
      </c>
      <c r="B102" s="25" t="s">
        <v>503</v>
      </c>
      <c r="C102" s="96">
        <v>1063.509</v>
      </c>
      <c r="D102" s="96"/>
      <c r="E102" s="12">
        <f t="shared" si="7"/>
        <v>-1063.509</v>
      </c>
      <c r="F102" s="13"/>
      <c r="G102" s="96"/>
      <c r="H102" s="96"/>
      <c r="I102" s="12"/>
      <c r="J102" s="14"/>
    </row>
    <row r="103" spans="1:10" s="95" customFormat="1" ht="209.25" customHeight="1">
      <c r="A103" s="104">
        <v>41050600</v>
      </c>
      <c r="B103" s="25" t="s">
        <v>441</v>
      </c>
      <c r="C103" s="96">
        <v>20321.348000000002</v>
      </c>
      <c r="D103" s="96"/>
      <c r="E103" s="12">
        <f t="shared" si="7"/>
        <v>-20321.348000000002</v>
      </c>
      <c r="F103" s="13"/>
      <c r="G103" s="96"/>
      <c r="H103" s="96"/>
      <c r="I103" s="12"/>
      <c r="J103" s="14"/>
    </row>
    <row r="104" spans="1:10" s="95" customFormat="1" ht="81" customHeight="1">
      <c r="A104" s="104">
        <v>41050900</v>
      </c>
      <c r="B104" s="28" t="s">
        <v>454</v>
      </c>
      <c r="C104" s="96">
        <v>14588.467000000001</v>
      </c>
      <c r="D104" s="96"/>
      <c r="E104" s="12">
        <f t="shared" si="7"/>
        <v>-14588.467000000001</v>
      </c>
      <c r="F104" s="13"/>
      <c r="G104" s="96"/>
      <c r="H104" s="96"/>
      <c r="I104" s="12"/>
      <c r="J104" s="14"/>
    </row>
    <row r="105" spans="1:10" s="95" customFormat="1" ht="38.450000000000003" customHeight="1">
      <c r="A105" s="104">
        <v>41051000</v>
      </c>
      <c r="B105" s="28" t="s">
        <v>390</v>
      </c>
      <c r="C105" s="11">
        <v>10365.566000000001</v>
      </c>
      <c r="D105" s="96">
        <v>9584.616</v>
      </c>
      <c r="E105" s="12">
        <f t="shared" si="7"/>
        <v>-780.95000000000073</v>
      </c>
      <c r="F105" s="13">
        <f t="shared" ref="F105" si="9">D105/C105*100</f>
        <v>92.465920336622233</v>
      </c>
      <c r="G105" s="96"/>
      <c r="H105" s="96"/>
      <c r="I105" s="12"/>
      <c r="J105" s="14"/>
    </row>
    <row r="106" spans="1:10" s="95" customFormat="1" ht="40.15" customHeight="1">
      <c r="A106" s="100" t="s">
        <v>391</v>
      </c>
      <c r="B106" s="28" t="s">
        <v>392</v>
      </c>
      <c r="C106" s="11">
        <v>5429.1909999999998</v>
      </c>
      <c r="D106" s="96"/>
      <c r="E106" s="12">
        <f t="shared" si="7"/>
        <v>-5429.1909999999998</v>
      </c>
      <c r="F106" s="13"/>
      <c r="G106" s="96"/>
      <c r="H106" s="96"/>
      <c r="I106" s="12"/>
      <c r="J106" s="14"/>
    </row>
    <row r="107" spans="1:10" s="95" customFormat="1" ht="40.15" customHeight="1">
      <c r="A107" s="100" t="s">
        <v>432</v>
      </c>
      <c r="B107" s="25" t="s">
        <v>433</v>
      </c>
      <c r="C107" s="11">
        <v>6589.5389999999998</v>
      </c>
      <c r="D107" s="96"/>
      <c r="E107" s="12">
        <f t="shared" si="7"/>
        <v>-6589.5389999999998</v>
      </c>
      <c r="F107" s="13"/>
      <c r="G107" s="96"/>
      <c r="H107" s="96"/>
      <c r="I107" s="12"/>
      <c r="J107" s="14"/>
    </row>
    <row r="108" spans="1:10" s="95" customFormat="1" ht="39" customHeight="1">
      <c r="A108" s="100" t="s">
        <v>393</v>
      </c>
      <c r="B108" s="28" t="s">
        <v>400</v>
      </c>
      <c r="C108" s="11">
        <v>3690.8820000000001</v>
      </c>
      <c r="D108" s="96"/>
      <c r="E108" s="12">
        <f t="shared" si="7"/>
        <v>-3690.8820000000001</v>
      </c>
      <c r="F108" s="13"/>
      <c r="G108" s="96"/>
      <c r="H108" s="96"/>
      <c r="I108" s="12"/>
      <c r="J108" s="14"/>
    </row>
    <row r="109" spans="1:10" s="95" customFormat="1" ht="63.75" customHeight="1">
      <c r="A109" s="100" t="s">
        <v>437</v>
      </c>
      <c r="B109" s="25" t="s">
        <v>439</v>
      </c>
      <c r="C109" s="11"/>
      <c r="D109" s="96"/>
      <c r="E109" s="12"/>
      <c r="F109" s="13"/>
      <c r="G109" s="96">
        <v>243.40199999999999</v>
      </c>
      <c r="H109" s="96"/>
      <c r="I109" s="12">
        <f t="shared" si="6"/>
        <v>-243.40199999999999</v>
      </c>
      <c r="J109" s="14"/>
    </row>
    <row r="110" spans="1:10" s="95" customFormat="1" ht="80.25" customHeight="1">
      <c r="A110" s="100" t="s">
        <v>457</v>
      </c>
      <c r="B110" s="25" t="s">
        <v>504</v>
      </c>
      <c r="C110" s="11"/>
      <c r="D110" s="96"/>
      <c r="E110" s="12"/>
      <c r="F110" s="13"/>
      <c r="G110" s="96">
        <v>369346.22899999999</v>
      </c>
      <c r="H110" s="96"/>
      <c r="I110" s="12">
        <f t="shared" si="6"/>
        <v>-369346.22899999999</v>
      </c>
      <c r="J110" s="14"/>
    </row>
    <row r="111" spans="1:10" s="95" customFormat="1" ht="23.25" customHeight="1">
      <c r="A111" s="100" t="s">
        <v>394</v>
      </c>
      <c r="B111" s="105" t="s">
        <v>225</v>
      </c>
      <c r="C111" s="96">
        <v>10203.079</v>
      </c>
      <c r="D111" s="96">
        <v>6974.0569999999998</v>
      </c>
      <c r="E111" s="12">
        <f t="shared" si="7"/>
        <v>-3229.0219999999999</v>
      </c>
      <c r="F111" s="13">
        <f t="shared" si="8"/>
        <v>68.352474777466682</v>
      </c>
      <c r="G111" s="96"/>
      <c r="H111" s="96"/>
      <c r="I111" s="12"/>
      <c r="J111" s="14"/>
    </row>
    <row r="112" spans="1:10" s="95" customFormat="1" ht="47.25" customHeight="1">
      <c r="A112" s="100" t="s">
        <v>395</v>
      </c>
      <c r="B112" s="105" t="s">
        <v>396</v>
      </c>
      <c r="C112" s="96">
        <v>20095.083999999999</v>
      </c>
      <c r="D112" s="96"/>
      <c r="E112" s="12">
        <f t="shared" si="7"/>
        <v>-20095.083999999999</v>
      </c>
      <c r="F112" s="13"/>
      <c r="G112" s="96">
        <v>7500</v>
      </c>
      <c r="H112" s="96"/>
      <c r="I112" s="12">
        <f t="shared" si="6"/>
        <v>-7500</v>
      </c>
      <c r="J112" s="14"/>
    </row>
    <row r="113" spans="1:13" s="94" customFormat="1" ht="25.5" customHeight="1">
      <c r="A113" s="106"/>
      <c r="B113" s="101" t="s">
        <v>397</v>
      </c>
      <c r="C113" s="93">
        <f>C86+C87</f>
        <v>4633576.6880000001</v>
      </c>
      <c r="D113" s="93">
        <f>D86+D87</f>
        <v>5614266.7094999999</v>
      </c>
      <c r="E113" s="31">
        <f t="shared" si="7"/>
        <v>980690.0214999998</v>
      </c>
      <c r="F113" s="30">
        <f t="shared" si="8"/>
        <v>121.16486005378486</v>
      </c>
      <c r="G113" s="93">
        <f>G86+G87</f>
        <v>472438.45199999999</v>
      </c>
      <c r="H113" s="93">
        <f>H86+H87</f>
        <v>126756.24200000001</v>
      </c>
      <c r="I113" s="31">
        <f t="shared" si="6"/>
        <v>-345682.20999999996</v>
      </c>
      <c r="J113" s="32">
        <f t="shared" ref="J113" si="10">H113/G113*100</f>
        <v>26.830212795634171</v>
      </c>
    </row>
    <row r="114" spans="1:13" ht="22.5">
      <c r="A114" s="128" t="s">
        <v>510</v>
      </c>
      <c r="B114" s="128"/>
      <c r="C114" s="128"/>
      <c r="D114" s="128"/>
      <c r="E114" s="128"/>
      <c r="F114" s="128"/>
      <c r="G114" s="128"/>
      <c r="H114" s="128"/>
      <c r="I114" s="128"/>
      <c r="J114" s="128"/>
    </row>
    <row r="115" spans="1:13" ht="20.25">
      <c r="A115" s="15" t="s">
        <v>33</v>
      </c>
      <c r="B115" s="58" t="s">
        <v>4</v>
      </c>
      <c r="C115" s="31">
        <f>SUM(C116:C117)</f>
        <v>361725.84487000003</v>
      </c>
      <c r="D115" s="31">
        <f>SUM(D116:D117)</f>
        <v>264510.37099999998</v>
      </c>
      <c r="E115" s="31">
        <f>SUM(D115-C115)</f>
        <v>-97215.473870000045</v>
      </c>
      <c r="F115" s="30">
        <f t="shared" ref="F115:F119" si="11">SUM(D115/C115*100)</f>
        <v>73.124543007166622</v>
      </c>
      <c r="G115" s="31">
        <f>G116</f>
        <v>9406.0490000000009</v>
      </c>
      <c r="H115" s="31">
        <f>H116</f>
        <v>6044.24</v>
      </c>
      <c r="I115" s="31">
        <f>SUM(H115-G115)</f>
        <v>-3361.8090000000011</v>
      </c>
      <c r="J115" s="32">
        <f t="shared" ref="J115:J116" si="12">SUM(H115/G115*100)</f>
        <v>64.25907413410242</v>
      </c>
      <c r="L115" s="125"/>
      <c r="M115" s="125"/>
    </row>
    <row r="116" spans="1:13">
      <c r="A116" s="17" t="s">
        <v>140</v>
      </c>
      <c r="B116" s="20" t="s">
        <v>5</v>
      </c>
      <c r="C116" s="55">
        <v>361010.01146000001</v>
      </c>
      <c r="D116" s="88">
        <v>264423.73499999999</v>
      </c>
      <c r="E116" s="12">
        <f>SUM(D116-C116)</f>
        <v>-96586.276460000023</v>
      </c>
      <c r="F116" s="13">
        <f t="shared" si="11"/>
        <v>73.245540734622594</v>
      </c>
      <c r="G116" s="55">
        <v>9406.0490000000009</v>
      </c>
      <c r="H116" s="55">
        <v>6044.24</v>
      </c>
      <c r="I116" s="12">
        <f>SUM(H116-G116)</f>
        <v>-3361.8090000000011</v>
      </c>
      <c r="J116" s="14">
        <f t="shared" si="12"/>
        <v>64.25907413410242</v>
      </c>
    </row>
    <row r="117" spans="1:13">
      <c r="A117" s="17" t="s">
        <v>243</v>
      </c>
      <c r="B117" s="20" t="s">
        <v>244</v>
      </c>
      <c r="C117" s="55">
        <v>715.83340999999996</v>
      </c>
      <c r="D117" s="88">
        <v>86.635999999999996</v>
      </c>
      <c r="E117" s="12">
        <f>SUM(D117-C117)</f>
        <v>-629.19740999999999</v>
      </c>
      <c r="F117" s="13">
        <f t="shared" si="11"/>
        <v>12.102815933109353</v>
      </c>
      <c r="G117" s="55"/>
      <c r="H117" s="55"/>
      <c r="I117" s="12"/>
      <c r="J117" s="14"/>
    </row>
    <row r="118" spans="1:13" ht="20.25">
      <c r="A118" s="15" t="s">
        <v>34</v>
      </c>
      <c r="B118" s="16" t="s">
        <v>6</v>
      </c>
      <c r="C118" s="31">
        <f>C119+C120+C124+C128+C131+C132+C133+C136+C137+C140+C143+C144+C147+C150+C151</f>
        <v>1972772.9391200002</v>
      </c>
      <c r="D118" s="31">
        <f>D119+D120+D124+D128+D131+D132+D133+D136+D137+D140+D143+D144+D147+D150+D151</f>
        <v>1749360.7290000001</v>
      </c>
      <c r="E118" s="31">
        <f>E119+E120+E124+E128+E131+E132+E133+E136+E137+E140+E143+E144+E147+E150+E151</f>
        <v>-223412.21012000006</v>
      </c>
      <c r="F118" s="30">
        <f t="shared" si="11"/>
        <v>88.67521924648571</v>
      </c>
      <c r="G118" s="31">
        <f>G119+G120+G124+G128+G131+G132+G133+G136+G137+G140+G143+G144+G147+G150+G151</f>
        <v>100216.58561999997</v>
      </c>
      <c r="H118" s="31">
        <f>H119+H120+H124+H128+H131+H132+H133+H136+H137+H140+H143+H144+H147+H150+H151</f>
        <v>51954.495999999999</v>
      </c>
      <c r="I118" s="31">
        <f>I119+I120+I124+I128+I131+I132+I133+I136+I137+I140+I143+I144+I147+I150+I151</f>
        <v>-64648.89662</v>
      </c>
      <c r="J118" s="32">
        <f t="shared" ref="J118:J123" si="13">SUM(H118/G118*100)</f>
        <v>51.842213221073429</v>
      </c>
      <c r="L118" s="125"/>
      <c r="M118" s="125"/>
    </row>
    <row r="119" spans="1:13">
      <c r="A119" s="17" t="s">
        <v>35</v>
      </c>
      <c r="B119" s="20" t="s">
        <v>256</v>
      </c>
      <c r="C119" s="11">
        <v>562002.44299999997</v>
      </c>
      <c r="D119" s="88">
        <v>417290.41200000001</v>
      </c>
      <c r="E119" s="12">
        <f t="shared" ref="E119" si="14">SUM(D119-C119)</f>
        <v>-144712.03099999996</v>
      </c>
      <c r="F119" s="13">
        <f t="shared" si="11"/>
        <v>74.25064022364046</v>
      </c>
      <c r="G119" s="11">
        <f>34825.541+17772.949</f>
        <v>52598.49</v>
      </c>
      <c r="H119" s="108">
        <v>9342.9940000000006</v>
      </c>
      <c r="I119" s="12">
        <f>SUM(H119-G119)</f>
        <v>-43255.495999999999</v>
      </c>
      <c r="J119" s="14">
        <f t="shared" si="13"/>
        <v>17.762855929894567</v>
      </c>
    </row>
    <row r="120" spans="1:13" s="39" customFormat="1">
      <c r="A120" s="17" t="s">
        <v>36</v>
      </c>
      <c r="B120" s="20" t="s">
        <v>274</v>
      </c>
      <c r="C120" s="11">
        <f>SUM(C121:C123)</f>
        <v>286441.57500000001</v>
      </c>
      <c r="D120" s="11">
        <f>SUM(D121:D123)</f>
        <v>243936.239</v>
      </c>
      <c r="E120" s="12">
        <f t="shared" ref="E120:E151" si="15">SUM(D120-C120)</f>
        <v>-42505.33600000001</v>
      </c>
      <c r="F120" s="13">
        <f t="shared" ref="F120:F151" si="16">SUM(D120/C120*100)</f>
        <v>85.160905500537069</v>
      </c>
      <c r="G120" s="11">
        <f>SUM(G121:G123)</f>
        <v>20149.094999999998</v>
      </c>
      <c r="H120" s="11">
        <f>SUM(H121:H123)</f>
        <v>17294.803</v>
      </c>
      <c r="I120" s="12">
        <f>SUM(H120-G120)</f>
        <v>-2854.2919999999976</v>
      </c>
      <c r="J120" s="14">
        <f t="shared" si="13"/>
        <v>85.834142923044439</v>
      </c>
    </row>
    <row r="121" spans="1:13">
      <c r="A121" s="17" t="s">
        <v>425</v>
      </c>
      <c r="B121" s="20" t="s">
        <v>275</v>
      </c>
      <c r="C121" s="11">
        <v>266492.092</v>
      </c>
      <c r="D121" s="88">
        <v>231036.65</v>
      </c>
      <c r="E121" s="12">
        <f t="shared" si="15"/>
        <v>-35455.44200000001</v>
      </c>
      <c r="F121" s="13">
        <f t="shared" si="16"/>
        <v>86.695499392154559</v>
      </c>
      <c r="G121" s="11">
        <f>12403.919+6822.381</f>
        <v>19226.3</v>
      </c>
      <c r="H121" s="11">
        <v>16927.045999999998</v>
      </c>
      <c r="I121" s="12">
        <f>SUM(H121-G121)</f>
        <v>-2299.2540000000008</v>
      </c>
      <c r="J121" s="14">
        <f t="shared" si="13"/>
        <v>88.041099951628752</v>
      </c>
    </row>
    <row r="122" spans="1:13" ht="47.25" customHeight="1">
      <c r="A122" s="17" t="s">
        <v>276</v>
      </c>
      <c r="B122" s="20" t="s">
        <v>257</v>
      </c>
      <c r="C122" s="11">
        <v>13971.141</v>
      </c>
      <c r="D122" s="88">
        <v>9232.7929999999997</v>
      </c>
      <c r="E122" s="12">
        <f t="shared" si="15"/>
        <v>-4738.348</v>
      </c>
      <c r="F122" s="13">
        <f t="shared" si="16"/>
        <v>66.084745691135751</v>
      </c>
      <c r="G122" s="11">
        <v>30.173999999999999</v>
      </c>
      <c r="H122" s="108">
        <v>46.683999999999997</v>
      </c>
      <c r="I122" s="12">
        <f>SUM(H122-G122)</f>
        <v>16.509999999999998</v>
      </c>
      <c r="J122" s="14">
        <f t="shared" si="13"/>
        <v>154.7159806455889</v>
      </c>
    </row>
    <row r="123" spans="1:13">
      <c r="A123" s="17" t="s">
        <v>277</v>
      </c>
      <c r="B123" s="20" t="s">
        <v>278</v>
      </c>
      <c r="C123" s="11">
        <v>5978.3419999999996</v>
      </c>
      <c r="D123" s="88">
        <v>3666.7959999999998</v>
      </c>
      <c r="E123" s="12">
        <f t="shared" si="15"/>
        <v>-2311.5459999999998</v>
      </c>
      <c r="F123" s="13">
        <f t="shared" si="16"/>
        <v>61.334664360118573</v>
      </c>
      <c r="G123" s="11">
        <v>892.62099999999998</v>
      </c>
      <c r="H123" s="108">
        <v>321.07299999999998</v>
      </c>
      <c r="I123" s="12">
        <f>SUM(H123-G123)</f>
        <v>-571.548</v>
      </c>
      <c r="J123" s="14">
        <f t="shared" si="13"/>
        <v>35.969689263416385</v>
      </c>
    </row>
    <row r="124" spans="1:13" s="39" customFormat="1">
      <c r="A124" s="17" t="s">
        <v>37</v>
      </c>
      <c r="B124" s="22" t="s">
        <v>279</v>
      </c>
      <c r="C124" s="11">
        <f>SUM(C125:C127)</f>
        <v>746686.99300000002</v>
      </c>
      <c r="D124" s="11">
        <f>SUM(D125:D127)</f>
        <v>765230.52499999991</v>
      </c>
      <c r="E124" s="12">
        <f t="shared" si="15"/>
        <v>18543.53199999989</v>
      </c>
      <c r="F124" s="13">
        <f t="shared" si="16"/>
        <v>102.48344114385823</v>
      </c>
      <c r="G124" s="37"/>
      <c r="H124" s="37"/>
      <c r="I124" s="41"/>
      <c r="J124" s="42"/>
    </row>
    <row r="125" spans="1:13">
      <c r="A125" s="17" t="s">
        <v>280</v>
      </c>
      <c r="B125" s="20" t="s">
        <v>275</v>
      </c>
      <c r="C125" s="11">
        <v>714781.44400000002</v>
      </c>
      <c r="D125" s="88">
        <v>737598.28200000001</v>
      </c>
      <c r="E125" s="12">
        <f t="shared" si="15"/>
        <v>22816.837999999989</v>
      </c>
      <c r="F125" s="13">
        <f t="shared" si="16"/>
        <v>103.19214190456796</v>
      </c>
      <c r="G125" s="11"/>
      <c r="H125" s="11"/>
      <c r="I125" s="41"/>
      <c r="J125" s="14"/>
    </row>
    <row r="126" spans="1:13" ht="37.5">
      <c r="A126" s="17" t="s">
        <v>281</v>
      </c>
      <c r="B126" s="20" t="s">
        <v>257</v>
      </c>
      <c r="C126" s="11">
        <v>9508.5990000000002</v>
      </c>
      <c r="D126" s="88">
        <v>9351.4449999999997</v>
      </c>
      <c r="E126" s="12">
        <f t="shared" si="15"/>
        <v>-157.15400000000045</v>
      </c>
      <c r="F126" s="13">
        <f t="shared" si="16"/>
        <v>98.347243374129036</v>
      </c>
      <c r="G126" s="11"/>
      <c r="H126" s="11"/>
      <c r="I126" s="41"/>
      <c r="J126" s="14"/>
    </row>
    <row r="127" spans="1:13">
      <c r="A127" s="17" t="s">
        <v>282</v>
      </c>
      <c r="B127" s="40" t="s">
        <v>278</v>
      </c>
      <c r="C127" s="11">
        <v>22396.95</v>
      </c>
      <c r="D127" s="88">
        <v>18280.797999999999</v>
      </c>
      <c r="E127" s="12">
        <f t="shared" si="15"/>
        <v>-4116.1520000000019</v>
      </c>
      <c r="F127" s="13">
        <f t="shared" si="16"/>
        <v>81.621819042324944</v>
      </c>
      <c r="G127" s="11"/>
      <c r="H127" s="11"/>
      <c r="I127" s="41"/>
      <c r="J127" s="14"/>
    </row>
    <row r="128" spans="1:13" s="39" customFormat="1" ht="75">
      <c r="A128" s="17" t="s">
        <v>409</v>
      </c>
      <c r="B128" s="22" t="s">
        <v>410</v>
      </c>
      <c r="C128" s="11">
        <f>SUM(C129:C130)</f>
        <v>5392.4959600000002</v>
      </c>
      <c r="D128" s="11"/>
      <c r="E128" s="12">
        <f t="shared" si="15"/>
        <v>-5392.4959600000002</v>
      </c>
      <c r="F128" s="13">
        <f t="shared" si="16"/>
        <v>0</v>
      </c>
      <c r="G128" s="37"/>
      <c r="H128" s="11">
        <f>SUM(H129:H130)</f>
        <v>16386.807000000001</v>
      </c>
      <c r="I128" s="41"/>
      <c r="J128" s="38"/>
    </row>
    <row r="129" spans="1:10">
      <c r="A129" s="17" t="s">
        <v>411</v>
      </c>
      <c r="B129" s="20" t="s">
        <v>275</v>
      </c>
      <c r="C129" s="11">
        <v>5384.0459600000004</v>
      </c>
      <c r="D129" s="11"/>
      <c r="E129" s="12">
        <f t="shared" si="15"/>
        <v>-5384.0459600000004</v>
      </c>
      <c r="F129" s="13">
        <f t="shared" si="16"/>
        <v>0</v>
      </c>
      <c r="G129" s="11"/>
      <c r="H129" s="108">
        <v>16338.746999999999</v>
      </c>
      <c r="I129" s="41"/>
      <c r="J129" s="14"/>
    </row>
    <row r="130" spans="1:10" ht="37.5">
      <c r="A130" s="17" t="s">
        <v>412</v>
      </c>
      <c r="B130" s="20" t="s">
        <v>257</v>
      </c>
      <c r="C130" s="11">
        <v>8.4499999999999993</v>
      </c>
      <c r="D130" s="11"/>
      <c r="E130" s="12">
        <f t="shared" si="15"/>
        <v>-8.4499999999999993</v>
      </c>
      <c r="F130" s="13">
        <f t="shared" si="16"/>
        <v>0</v>
      </c>
      <c r="G130" s="11"/>
      <c r="H130" s="108">
        <v>48.06</v>
      </c>
      <c r="I130" s="41"/>
      <c r="J130" s="14"/>
    </row>
    <row r="131" spans="1:10" ht="20.25" customHeight="1">
      <c r="A131" s="17" t="s">
        <v>283</v>
      </c>
      <c r="B131" s="20" t="s">
        <v>284</v>
      </c>
      <c r="C131" s="11">
        <v>55188.661999999997</v>
      </c>
      <c r="D131" s="88">
        <v>39238.442000000003</v>
      </c>
      <c r="E131" s="12">
        <f t="shared" si="15"/>
        <v>-15950.219999999994</v>
      </c>
      <c r="F131" s="13">
        <f t="shared" si="16"/>
        <v>71.098737635639736</v>
      </c>
      <c r="G131" s="11">
        <v>151.58600000000001</v>
      </c>
      <c r="H131" s="11">
        <v>5.8650000000000002</v>
      </c>
      <c r="I131" s="12">
        <f>SUM(H131-G131)</f>
        <v>-145.721</v>
      </c>
      <c r="J131" s="14">
        <f>SUM(H131/G131*100)</f>
        <v>3.8690908131357773</v>
      </c>
    </row>
    <row r="132" spans="1:10">
      <c r="A132" s="33" t="s">
        <v>269</v>
      </c>
      <c r="B132" s="34" t="s">
        <v>258</v>
      </c>
      <c r="C132" s="11">
        <v>74730.348159999994</v>
      </c>
      <c r="D132" s="88">
        <v>58426.26</v>
      </c>
      <c r="E132" s="12">
        <f t="shared" si="15"/>
        <v>-16304.088159999992</v>
      </c>
      <c r="F132" s="13">
        <f t="shared" si="16"/>
        <v>78.182775055333025</v>
      </c>
      <c r="G132" s="11">
        <v>6138.32762</v>
      </c>
      <c r="H132" s="108">
        <v>2556.12</v>
      </c>
      <c r="I132" s="12">
        <f>SUM(H132-G132)</f>
        <v>-3582.2076200000001</v>
      </c>
      <c r="J132" s="14">
        <f>SUM(H132/G132*100)</f>
        <v>41.641961104708841</v>
      </c>
    </row>
    <row r="133" spans="1:10" s="39" customFormat="1" ht="37.5">
      <c r="A133" s="33" t="s">
        <v>38</v>
      </c>
      <c r="B133" s="27" t="s">
        <v>259</v>
      </c>
      <c r="C133" s="11">
        <f>SUM(C134:C135)</f>
        <v>175365.68799999999</v>
      </c>
      <c r="D133" s="11">
        <f>SUM(D134:D135)</f>
        <v>181128.492</v>
      </c>
      <c r="E133" s="12">
        <f t="shared" si="15"/>
        <v>5762.8040000000037</v>
      </c>
      <c r="F133" s="13">
        <f t="shared" si="16"/>
        <v>103.28616393875181</v>
      </c>
      <c r="G133" s="11">
        <f>G134</f>
        <v>7791.0249999999996</v>
      </c>
      <c r="H133" s="11">
        <f>H134</f>
        <v>5882.0630000000001</v>
      </c>
      <c r="I133" s="12">
        <f>SUM(H133-G133)</f>
        <v>-1908.9619999999995</v>
      </c>
      <c r="J133" s="14">
        <f>SUM(H133/G133*100)</f>
        <v>75.497935124069045</v>
      </c>
    </row>
    <row r="134" spans="1:10" ht="37.5">
      <c r="A134" s="33" t="s">
        <v>285</v>
      </c>
      <c r="B134" s="27" t="s">
        <v>286</v>
      </c>
      <c r="C134" s="11">
        <v>158324.109</v>
      </c>
      <c r="D134" s="88">
        <v>163838.1</v>
      </c>
      <c r="E134" s="12">
        <f t="shared" si="15"/>
        <v>5513.9910000000091</v>
      </c>
      <c r="F134" s="13">
        <f t="shared" si="16"/>
        <v>103.48272353138586</v>
      </c>
      <c r="G134" s="11">
        <v>7791.0249999999996</v>
      </c>
      <c r="H134" s="108">
        <v>5882.0630000000001</v>
      </c>
      <c r="I134" s="12">
        <f>SUM(H134-G134)</f>
        <v>-1908.9619999999995</v>
      </c>
      <c r="J134" s="14">
        <f>SUM(H134/G134*100)</f>
        <v>75.497935124069045</v>
      </c>
    </row>
    <row r="135" spans="1:10" ht="37.5">
      <c r="A135" s="33" t="s">
        <v>287</v>
      </c>
      <c r="B135" s="27" t="s">
        <v>300</v>
      </c>
      <c r="C135" s="11">
        <v>17041.579000000002</v>
      </c>
      <c r="D135" s="88">
        <v>17290.392</v>
      </c>
      <c r="E135" s="12">
        <f t="shared" si="15"/>
        <v>248.81299999999828</v>
      </c>
      <c r="F135" s="13">
        <f t="shared" si="16"/>
        <v>101.46003489465383</v>
      </c>
      <c r="G135" s="11"/>
      <c r="H135" s="11"/>
      <c r="I135" s="12"/>
      <c r="J135" s="14"/>
    </row>
    <row r="136" spans="1:10">
      <c r="A136" s="17" t="s">
        <v>288</v>
      </c>
      <c r="B136" s="24" t="s">
        <v>289</v>
      </c>
      <c r="C136" s="11">
        <v>6319.9949999999999</v>
      </c>
      <c r="D136" s="88">
        <v>5976.1409999999996</v>
      </c>
      <c r="E136" s="12">
        <f t="shared" si="15"/>
        <v>-343.85400000000027</v>
      </c>
      <c r="F136" s="13">
        <f t="shared" si="16"/>
        <v>94.559267847522023</v>
      </c>
      <c r="G136" s="11">
        <v>15.954000000000001</v>
      </c>
      <c r="H136" s="108">
        <v>2.863</v>
      </c>
      <c r="I136" s="12">
        <f>SUM(H136-G136)</f>
        <v>-13.091000000000001</v>
      </c>
      <c r="J136" s="14">
        <f>SUM(H136/G136*100)</f>
        <v>17.945342860724583</v>
      </c>
    </row>
    <row r="137" spans="1:10" s="39" customFormat="1">
      <c r="A137" s="33" t="s">
        <v>290</v>
      </c>
      <c r="B137" s="27" t="s">
        <v>218</v>
      </c>
      <c r="C137" s="11">
        <f>C138+C139</f>
        <v>29079.335999999999</v>
      </c>
      <c r="D137" s="11">
        <f>D138+D139</f>
        <v>23383.589</v>
      </c>
      <c r="E137" s="12">
        <f t="shared" si="15"/>
        <v>-5695.7469999999994</v>
      </c>
      <c r="F137" s="13">
        <f t="shared" si="16"/>
        <v>80.413077520064419</v>
      </c>
      <c r="G137" s="11">
        <f>G138+G139</f>
        <v>65.804000000000002</v>
      </c>
      <c r="H137" s="11">
        <f>H138+H139</f>
        <v>482.98099999999999</v>
      </c>
      <c r="I137" s="12">
        <f>SUM(H137-G137)</f>
        <v>417.17700000000002</v>
      </c>
      <c r="J137" s="14" t="s">
        <v>462</v>
      </c>
    </row>
    <row r="138" spans="1:10">
      <c r="A138" s="33" t="s">
        <v>291</v>
      </c>
      <c r="B138" s="28" t="s">
        <v>141</v>
      </c>
      <c r="C138" s="11">
        <v>28444.766</v>
      </c>
      <c r="D138" s="88">
        <v>23215.258999999998</v>
      </c>
      <c r="E138" s="12">
        <f t="shared" si="15"/>
        <v>-5229.5070000000014</v>
      </c>
      <c r="F138" s="13">
        <f t="shared" si="16"/>
        <v>81.615222287291786</v>
      </c>
      <c r="G138" s="11">
        <v>65.804000000000002</v>
      </c>
      <c r="H138" s="108">
        <v>482.98099999999999</v>
      </c>
      <c r="I138" s="12">
        <f>SUM(H138-G138)</f>
        <v>417.17700000000002</v>
      </c>
      <c r="J138" s="14" t="s">
        <v>462</v>
      </c>
    </row>
    <row r="139" spans="1:10">
      <c r="A139" s="33" t="s">
        <v>292</v>
      </c>
      <c r="B139" s="28" t="s">
        <v>142</v>
      </c>
      <c r="C139" s="11">
        <v>634.57000000000005</v>
      </c>
      <c r="D139" s="88">
        <v>168.33</v>
      </c>
      <c r="E139" s="12">
        <f t="shared" si="15"/>
        <v>-466.24</v>
      </c>
      <c r="F139" s="13">
        <f t="shared" si="16"/>
        <v>26.526624328285298</v>
      </c>
      <c r="G139" s="11"/>
      <c r="H139" s="11"/>
      <c r="I139" s="12"/>
      <c r="J139" s="14"/>
    </row>
    <row r="140" spans="1:10" s="39" customFormat="1">
      <c r="A140" s="33" t="s">
        <v>113</v>
      </c>
      <c r="B140" s="27" t="s">
        <v>249</v>
      </c>
      <c r="C140" s="11">
        <f>SUM(C141:C142)</f>
        <v>11115.322</v>
      </c>
      <c r="D140" s="11">
        <f>SUM(D141:D142)</f>
        <v>11676.523999999999</v>
      </c>
      <c r="E140" s="12">
        <f t="shared" si="15"/>
        <v>561.20199999999932</v>
      </c>
      <c r="F140" s="13">
        <f t="shared" si="16"/>
        <v>105.0489045661475</v>
      </c>
      <c r="G140" s="11"/>
      <c r="H140" s="11"/>
      <c r="I140" s="12"/>
      <c r="J140" s="14"/>
    </row>
    <row r="141" spans="1:10">
      <c r="A141" s="33" t="s">
        <v>293</v>
      </c>
      <c r="B141" s="27" t="s">
        <v>294</v>
      </c>
      <c r="C141" s="11">
        <v>3302.3760000000002</v>
      </c>
      <c r="D141" s="88">
        <v>2091.9079999999999</v>
      </c>
      <c r="E141" s="12">
        <f t="shared" si="15"/>
        <v>-1210.4680000000003</v>
      </c>
      <c r="F141" s="13">
        <f t="shared" si="16"/>
        <v>63.345542724389944</v>
      </c>
      <c r="G141" s="11"/>
      <c r="H141" s="11"/>
      <c r="I141" s="12"/>
      <c r="J141" s="14"/>
    </row>
    <row r="142" spans="1:10">
      <c r="A142" s="33" t="s">
        <v>295</v>
      </c>
      <c r="B142" s="27" t="s">
        <v>296</v>
      </c>
      <c r="C142" s="11">
        <v>7812.9459999999999</v>
      </c>
      <c r="D142" s="88">
        <v>9584.616</v>
      </c>
      <c r="E142" s="12">
        <f t="shared" si="15"/>
        <v>1771.67</v>
      </c>
      <c r="F142" s="13">
        <f t="shared" si="16"/>
        <v>122.67608146786115</v>
      </c>
      <c r="G142" s="11"/>
      <c r="H142" s="11"/>
      <c r="I142" s="12"/>
      <c r="J142" s="14"/>
    </row>
    <row r="143" spans="1:10">
      <c r="A143" s="17" t="s">
        <v>108</v>
      </c>
      <c r="B143" s="28" t="s">
        <v>297</v>
      </c>
      <c r="C143" s="11">
        <v>3744.9259999999999</v>
      </c>
      <c r="D143" s="88">
        <v>3074.105</v>
      </c>
      <c r="E143" s="12">
        <f t="shared" si="15"/>
        <v>-670.82099999999991</v>
      </c>
      <c r="F143" s="13">
        <f t="shared" si="16"/>
        <v>82.087202791190009</v>
      </c>
      <c r="G143" s="11">
        <v>0.45700000000000002</v>
      </c>
      <c r="H143" s="11"/>
      <c r="I143" s="12">
        <f>SUM(H143-G143)</f>
        <v>-0.45700000000000002</v>
      </c>
      <c r="J143" s="14">
        <f>SUM(H143/G143*100)</f>
        <v>0</v>
      </c>
    </row>
    <row r="144" spans="1:10" s="39" customFormat="1">
      <c r="A144" s="17" t="s">
        <v>413</v>
      </c>
      <c r="B144" s="28" t="s">
        <v>414</v>
      </c>
      <c r="C144" s="11">
        <f>SUM(C145:C146)</f>
        <v>0</v>
      </c>
      <c r="D144" s="11"/>
      <c r="E144" s="12"/>
      <c r="F144" s="13"/>
      <c r="G144" s="11">
        <f t="shared" ref="G144" si="17">SUM(G145:G146)</f>
        <v>13305.847</v>
      </c>
      <c r="H144" s="11"/>
      <c r="I144" s="12">
        <f>SUM(H144-G144)</f>
        <v>-13305.847</v>
      </c>
      <c r="J144" s="73">
        <f t="shared" ref="J144" si="18">SUM(J145:J146)</f>
        <v>0</v>
      </c>
    </row>
    <row r="145" spans="1:13" ht="37.5">
      <c r="A145" s="17" t="s">
        <v>417</v>
      </c>
      <c r="B145" s="28" t="s">
        <v>424</v>
      </c>
      <c r="C145" s="11"/>
      <c r="D145" s="11"/>
      <c r="E145" s="12"/>
      <c r="F145" s="13"/>
      <c r="G145" s="11">
        <v>4058.42</v>
      </c>
      <c r="H145" s="11"/>
      <c r="I145" s="12">
        <f>SUM(H145-G145)</f>
        <v>-4058.42</v>
      </c>
      <c r="J145" s="14">
        <f>SUM(H145/G145*100)</f>
        <v>0</v>
      </c>
    </row>
    <row r="146" spans="1:13" ht="37.5">
      <c r="A146" s="17" t="s">
        <v>415</v>
      </c>
      <c r="B146" s="28" t="s">
        <v>416</v>
      </c>
      <c r="C146" s="11"/>
      <c r="D146" s="11"/>
      <c r="E146" s="12"/>
      <c r="F146" s="13"/>
      <c r="G146" s="11">
        <v>9247.4269999999997</v>
      </c>
      <c r="H146" s="11"/>
      <c r="I146" s="12">
        <f>SUM(H146-G146)</f>
        <v>-9247.4269999999997</v>
      </c>
      <c r="J146" s="14">
        <f>SUM(H146/G146*100)</f>
        <v>0</v>
      </c>
    </row>
    <row r="147" spans="1:13" s="39" customFormat="1" ht="37.5">
      <c r="A147" s="17" t="s">
        <v>418</v>
      </c>
      <c r="B147" s="28" t="s">
        <v>419</v>
      </c>
      <c r="C147" s="11">
        <f t="shared" ref="C147" si="19">SUM(C148:C149)</f>
        <v>10963.636999999999</v>
      </c>
      <c r="D147" s="11"/>
      <c r="E147" s="12">
        <f t="shared" si="15"/>
        <v>-10963.636999999999</v>
      </c>
      <c r="F147" s="13">
        <f t="shared" si="16"/>
        <v>0</v>
      </c>
      <c r="G147" s="37"/>
      <c r="H147" s="37"/>
      <c r="I147" s="41"/>
      <c r="J147" s="38"/>
    </row>
    <row r="148" spans="1:13" ht="56.25">
      <c r="A148" s="17" t="s">
        <v>420</v>
      </c>
      <c r="B148" s="28" t="s">
        <v>422</v>
      </c>
      <c r="C148" s="11">
        <v>4374.098</v>
      </c>
      <c r="D148" s="11"/>
      <c r="E148" s="12">
        <f t="shared" si="15"/>
        <v>-4374.098</v>
      </c>
      <c r="F148" s="13">
        <f t="shared" si="16"/>
        <v>0</v>
      </c>
      <c r="G148" s="11"/>
      <c r="H148" s="11"/>
      <c r="I148" s="41"/>
      <c r="J148" s="14"/>
    </row>
    <row r="149" spans="1:13" ht="46.5" customHeight="1">
      <c r="A149" s="17" t="s">
        <v>421</v>
      </c>
      <c r="B149" s="28" t="s">
        <v>423</v>
      </c>
      <c r="C149" s="11">
        <v>6589.5389999999998</v>
      </c>
      <c r="D149" s="11"/>
      <c r="E149" s="12">
        <f t="shared" si="15"/>
        <v>-6589.5389999999998</v>
      </c>
      <c r="F149" s="13">
        <f t="shared" si="16"/>
        <v>0</v>
      </c>
      <c r="G149" s="11"/>
      <c r="H149" s="11"/>
      <c r="I149" s="41"/>
      <c r="J149" s="14"/>
    </row>
    <row r="150" spans="1:13" ht="37.5">
      <c r="A150" s="17" t="s">
        <v>298</v>
      </c>
      <c r="B150" s="28" t="s">
        <v>299</v>
      </c>
      <c r="C150" s="11">
        <v>3135.2959999999998</v>
      </c>
      <c r="D150" s="11"/>
      <c r="E150" s="12">
        <f t="shared" si="15"/>
        <v>-3135.2959999999998</v>
      </c>
      <c r="F150" s="13">
        <f t="shared" si="16"/>
        <v>0</v>
      </c>
      <c r="G150" s="11"/>
      <c r="H150" s="11"/>
      <c r="I150" s="41"/>
      <c r="J150" s="14"/>
    </row>
    <row r="151" spans="1:13" ht="37.5">
      <c r="A151" s="17" t="s">
        <v>307</v>
      </c>
      <c r="B151" s="28" t="s">
        <v>308</v>
      </c>
      <c r="C151" s="11">
        <v>2606.2220000000002</v>
      </c>
      <c r="D151" s="11"/>
      <c r="E151" s="12">
        <f t="shared" si="15"/>
        <v>-2606.2220000000002</v>
      </c>
      <c r="F151" s="13">
        <f t="shared" si="16"/>
        <v>0</v>
      </c>
      <c r="G151" s="11"/>
      <c r="H151" s="11"/>
      <c r="I151" s="41"/>
      <c r="J151" s="14"/>
    </row>
    <row r="152" spans="1:13" ht="20.25">
      <c r="A152" s="29" t="s">
        <v>39</v>
      </c>
      <c r="B152" s="16" t="s">
        <v>7</v>
      </c>
      <c r="C152" s="31">
        <f>SUM(C153:C156)+C157+C162+C159</f>
        <v>114582.75933</v>
      </c>
      <c r="D152" s="31">
        <f>SUM(D153:D156)+D157+D162+D159</f>
        <v>132645.41500000001</v>
      </c>
      <c r="E152" s="31">
        <f t="shared" ref="E152:E160" si="20">SUM(D152-C152)</f>
        <v>18062.655670000007</v>
      </c>
      <c r="F152" s="30">
        <f t="shared" ref="F152:F160" si="21">SUM(D152/C152*100)</f>
        <v>115.7638511898455</v>
      </c>
      <c r="G152" s="31">
        <f>SUM(G153:G158)+G162</f>
        <v>42012.632959999995</v>
      </c>
      <c r="H152" s="31">
        <f>SUM(H153:H157)+H162</f>
        <v>61358.355000000003</v>
      </c>
      <c r="I152" s="31">
        <f t="shared" ref="I152:I153" si="22">SUM(H152-G152)</f>
        <v>19345.722040000008</v>
      </c>
      <c r="J152" s="32" t="s">
        <v>438</v>
      </c>
      <c r="L152" s="125"/>
      <c r="M152" s="125"/>
    </row>
    <row r="153" spans="1:13">
      <c r="A153" s="17" t="s">
        <v>40</v>
      </c>
      <c r="B153" s="20" t="s">
        <v>41</v>
      </c>
      <c r="C153" s="11">
        <v>62252.561379999999</v>
      </c>
      <c r="D153" s="88">
        <v>90718.937999999995</v>
      </c>
      <c r="E153" s="12">
        <f t="shared" si="20"/>
        <v>28466.376619999995</v>
      </c>
      <c r="F153" s="13">
        <f t="shared" si="21"/>
        <v>145.72723754487225</v>
      </c>
      <c r="G153" s="11">
        <f>19215.58416+13099.102</f>
        <v>32314.686159999997</v>
      </c>
      <c r="H153" s="11">
        <v>35514.800000000003</v>
      </c>
      <c r="I153" s="12">
        <f t="shared" si="22"/>
        <v>3200.1138400000054</v>
      </c>
      <c r="J153" s="14" t="s">
        <v>492</v>
      </c>
    </row>
    <row r="154" spans="1:13">
      <c r="A154" s="17" t="s">
        <v>114</v>
      </c>
      <c r="B154" s="25" t="s">
        <v>143</v>
      </c>
      <c r="C154" s="11">
        <v>12782.3431</v>
      </c>
      <c r="D154" s="88">
        <v>16896.585999999999</v>
      </c>
      <c r="E154" s="12">
        <f t="shared" si="20"/>
        <v>4114.2428999999993</v>
      </c>
      <c r="F154" s="13">
        <f t="shared" si="21"/>
        <v>132.18692275596953</v>
      </c>
      <c r="G154" s="11">
        <f>9042.905+105.463</f>
        <v>9148.3680000000004</v>
      </c>
      <c r="H154" s="108">
        <v>20243.555</v>
      </c>
      <c r="I154" s="12">
        <f t="shared" ref="I154:I156" si="23">SUM(H154-G154)</f>
        <v>11095.187</v>
      </c>
      <c r="J154" s="14" t="s">
        <v>491</v>
      </c>
    </row>
    <row r="155" spans="1:13">
      <c r="A155" s="17" t="s">
        <v>115</v>
      </c>
      <c r="B155" s="35" t="s">
        <v>231</v>
      </c>
      <c r="C155" s="11">
        <v>514.52603999999997</v>
      </c>
      <c r="D155" s="88">
        <v>645.03099999999995</v>
      </c>
      <c r="E155" s="12">
        <f t="shared" si="20"/>
        <v>130.50495999999998</v>
      </c>
      <c r="F155" s="13">
        <f t="shared" si="21"/>
        <v>125.36411179500264</v>
      </c>
      <c r="G155" s="11"/>
      <c r="H155" s="108">
        <v>5600</v>
      </c>
      <c r="I155" s="12">
        <f t="shared" ref="I155" si="24">SUM(H155-G155)</f>
        <v>5600</v>
      </c>
      <c r="J155" s="14"/>
    </row>
    <row r="156" spans="1:13">
      <c r="A156" s="17" t="s">
        <v>116</v>
      </c>
      <c r="B156" s="35" t="s">
        <v>144</v>
      </c>
      <c r="C156" s="11">
        <v>2353.1794100000002</v>
      </c>
      <c r="D156" s="88">
        <v>542.28499999999997</v>
      </c>
      <c r="E156" s="12">
        <f t="shared" si="20"/>
        <v>-1810.8944100000003</v>
      </c>
      <c r="F156" s="13">
        <f t="shared" si="21"/>
        <v>23.044779233386201</v>
      </c>
      <c r="G156" s="11">
        <v>499.99979999999999</v>
      </c>
      <c r="H156" s="11"/>
      <c r="I156" s="12">
        <f t="shared" si="23"/>
        <v>-499.99979999999999</v>
      </c>
      <c r="J156" s="14">
        <f>SUM(H156/G156*100)</f>
        <v>0</v>
      </c>
    </row>
    <row r="157" spans="1:13">
      <c r="A157" s="17" t="s">
        <v>117</v>
      </c>
      <c r="B157" s="35" t="s">
        <v>232</v>
      </c>
      <c r="C157" s="11">
        <f>C158</f>
        <v>20246.143820000001</v>
      </c>
      <c r="D157" s="11">
        <f>D158</f>
        <v>22936.168000000001</v>
      </c>
      <c r="E157" s="12">
        <f t="shared" si="20"/>
        <v>2690.0241800000003</v>
      </c>
      <c r="F157" s="13">
        <f t="shared" si="21"/>
        <v>113.28660017391894</v>
      </c>
      <c r="G157" s="11"/>
      <c r="H157" s="11"/>
      <c r="I157" s="12"/>
      <c r="J157" s="14"/>
    </row>
    <row r="158" spans="1:13" ht="37.5">
      <c r="A158" s="17" t="s">
        <v>118</v>
      </c>
      <c r="B158" s="35" t="s">
        <v>145</v>
      </c>
      <c r="C158" s="11">
        <v>20246.143820000001</v>
      </c>
      <c r="D158" s="88">
        <v>22936.168000000001</v>
      </c>
      <c r="E158" s="12">
        <f t="shared" si="20"/>
        <v>2690.0241800000003</v>
      </c>
      <c r="F158" s="13">
        <f t="shared" si="21"/>
        <v>113.28660017391894</v>
      </c>
      <c r="G158" s="11">
        <v>49.579000000000001</v>
      </c>
      <c r="H158" s="11"/>
      <c r="I158" s="12"/>
      <c r="J158" s="14"/>
    </row>
    <row r="159" spans="1:13">
      <c r="A159" s="17" t="s">
        <v>42</v>
      </c>
      <c r="B159" s="36" t="s">
        <v>217</v>
      </c>
      <c r="C159" s="11">
        <f>SUM(C160:C161)</f>
        <v>15437.98351</v>
      </c>
      <c r="D159" s="88"/>
      <c r="E159" s="12">
        <f t="shared" si="20"/>
        <v>-15437.98351</v>
      </c>
      <c r="F159" s="13">
        <f t="shared" si="21"/>
        <v>0</v>
      </c>
      <c r="G159" s="11"/>
      <c r="H159" s="11"/>
      <c r="I159" s="12"/>
      <c r="J159" s="14"/>
    </row>
    <row r="160" spans="1:13">
      <c r="A160" s="17" t="s">
        <v>119</v>
      </c>
      <c r="B160" s="35" t="s">
        <v>146</v>
      </c>
      <c r="C160" s="11">
        <v>15437.98351</v>
      </c>
      <c r="D160" s="11"/>
      <c r="E160" s="12">
        <f t="shared" si="20"/>
        <v>-15437.98351</v>
      </c>
      <c r="F160" s="13">
        <f t="shared" si="21"/>
        <v>0</v>
      </c>
      <c r="G160" s="11"/>
      <c r="H160" s="11"/>
      <c r="I160" s="12"/>
      <c r="J160" s="14"/>
    </row>
    <row r="161" spans="1:10">
      <c r="A161" s="17" t="s">
        <v>120</v>
      </c>
      <c r="B161" s="35" t="s">
        <v>147</v>
      </c>
      <c r="C161" s="11"/>
      <c r="D161" s="11"/>
      <c r="E161" s="12"/>
      <c r="F161" s="13"/>
      <c r="G161" s="11"/>
      <c r="H161" s="11"/>
      <c r="I161" s="12"/>
      <c r="J161" s="14"/>
    </row>
    <row r="162" spans="1:10">
      <c r="A162" s="17" t="s">
        <v>121</v>
      </c>
      <c r="B162" s="35" t="s">
        <v>148</v>
      </c>
      <c r="C162" s="11">
        <f>SUM(C163:C164)</f>
        <v>996.02206999999999</v>
      </c>
      <c r="D162" s="11">
        <f>SUM(D163:D164)</f>
        <v>906.40700000000004</v>
      </c>
      <c r="E162" s="12">
        <f>SUM(D162-C162)</f>
        <v>-89.615069999999946</v>
      </c>
      <c r="F162" s="13">
        <f>SUM(D162/C162*100)</f>
        <v>91.002702379878002</v>
      </c>
      <c r="G162" s="11"/>
      <c r="H162" s="11"/>
      <c r="I162" s="12"/>
      <c r="J162" s="14"/>
    </row>
    <row r="163" spans="1:10">
      <c r="A163" s="17" t="s">
        <v>122</v>
      </c>
      <c r="B163" s="35" t="s">
        <v>149</v>
      </c>
      <c r="C163" s="11">
        <v>0</v>
      </c>
      <c r="D163" s="11"/>
      <c r="E163" s="12"/>
      <c r="F163" s="13"/>
      <c r="G163" s="11"/>
      <c r="H163" s="11"/>
      <c r="I163" s="12"/>
      <c r="J163" s="14"/>
    </row>
    <row r="164" spans="1:10">
      <c r="A164" s="17" t="s">
        <v>123</v>
      </c>
      <c r="B164" s="35" t="s">
        <v>150</v>
      </c>
      <c r="C164" s="11">
        <v>996.02206999999999</v>
      </c>
      <c r="D164" s="88">
        <v>906.40700000000004</v>
      </c>
      <c r="E164" s="12">
        <f>SUM(D164-C164)</f>
        <v>-89.615069999999946</v>
      </c>
      <c r="F164" s="13">
        <f>SUM(D164/C164*100)</f>
        <v>91.002702379878002</v>
      </c>
      <c r="G164" s="11"/>
      <c r="H164" s="11"/>
      <c r="I164" s="12"/>
      <c r="J164" s="14"/>
    </row>
    <row r="165" spans="1:10" ht="20.25">
      <c r="A165" s="15" t="s">
        <v>43</v>
      </c>
      <c r="B165" s="16" t="s">
        <v>8</v>
      </c>
      <c r="C165" s="31">
        <f>C166+C173+C175+C181+C189+C190+C193+C194+C197+C202+C174+C186+C180+C188+C179</f>
        <v>177459.62100000004</v>
      </c>
      <c r="D165" s="31">
        <f>D166+D173+D175+D181+D189+D190+D193+D194+D197+D202+D174+D186+D180+D188+D179</f>
        <v>124682.016</v>
      </c>
      <c r="E165" s="31">
        <f t="shared" ref="E165:E166" si="25">SUM(D165-C165)</f>
        <v>-52777.60500000004</v>
      </c>
      <c r="F165" s="30">
        <f>SUM(D165/C165*100)</f>
        <v>70.259372412386682</v>
      </c>
      <c r="G165" s="31">
        <f>G166+G173+G175+G181+G189+G190+G193+G194+G197+G202+G174+G186+G198+G178</f>
        <v>34508.805980000005</v>
      </c>
      <c r="H165" s="31">
        <f>H166+H173+H175+H181+H189+H190+H193+H194+H197+H202+H174+H186+H198+H178</f>
        <v>46927.458999999995</v>
      </c>
      <c r="I165" s="31">
        <f t="shared" ref="I165" si="26">SUM(H165-G165)</f>
        <v>12418.653019999991</v>
      </c>
      <c r="J165" s="90">
        <f t="shared" ref="J165" si="27">SUM(H165/G165*100)</f>
        <v>135.98691020256501</v>
      </c>
    </row>
    <row r="166" spans="1:10" ht="37.5">
      <c r="A166" s="17" t="s">
        <v>44</v>
      </c>
      <c r="B166" s="18" t="s">
        <v>200</v>
      </c>
      <c r="C166" s="11">
        <f>SUM(C167:C172)</f>
        <v>45490.198000000004</v>
      </c>
      <c r="D166" s="11">
        <f>SUM(D167:D172)</f>
        <v>36688.765999999996</v>
      </c>
      <c r="E166" s="12">
        <f t="shared" si="25"/>
        <v>-8801.432000000008</v>
      </c>
      <c r="F166" s="13">
        <f>SUM(D166/C166*100)</f>
        <v>80.652025300043732</v>
      </c>
      <c r="G166" s="11">
        <f>SUM(G167:G172)</f>
        <v>488.53500000000003</v>
      </c>
      <c r="H166" s="11">
        <f>SUM(H167:H172)</f>
        <v>0</v>
      </c>
      <c r="I166" s="12">
        <f t="shared" ref="I166" si="28">SUM(H166-G166)</f>
        <v>-488.53500000000003</v>
      </c>
      <c r="J166" s="19">
        <f t="shared" ref="J166" si="29">SUM(H166/G166*100)</f>
        <v>0</v>
      </c>
    </row>
    <row r="167" spans="1:10" ht="20.25" customHeight="1">
      <c r="A167" s="17" t="s">
        <v>45</v>
      </c>
      <c r="B167" s="18" t="s">
        <v>246</v>
      </c>
      <c r="C167" s="11">
        <v>1280.1400000000001</v>
      </c>
      <c r="D167" s="88">
        <v>88.522999999999996</v>
      </c>
      <c r="E167" s="12">
        <f t="shared" ref="E167:E204" si="30">SUM(D167-C167)</f>
        <v>-1191.6170000000002</v>
      </c>
      <c r="F167" s="13">
        <f t="shared" ref="F167:F204" si="31">SUM(D167/C167*100)</f>
        <v>6.9151030356054797</v>
      </c>
      <c r="G167" s="11">
        <v>488.53500000000003</v>
      </c>
      <c r="H167" s="11"/>
      <c r="I167" s="12">
        <f t="shared" ref="I167" si="32">SUM(H167-G167)</f>
        <v>-488.53500000000003</v>
      </c>
      <c r="J167" s="19">
        <f t="shared" ref="J167" si="33">SUM(H167/G167*100)</f>
        <v>0</v>
      </c>
    </row>
    <row r="168" spans="1:10" ht="20.25" customHeight="1">
      <c r="A168" s="17" t="s">
        <v>201</v>
      </c>
      <c r="B168" s="20" t="s">
        <v>48</v>
      </c>
      <c r="C168" s="11">
        <v>1721.77</v>
      </c>
      <c r="D168" s="88">
        <v>1509.6959999999999</v>
      </c>
      <c r="E168" s="12">
        <f t="shared" si="30"/>
        <v>-212.07400000000007</v>
      </c>
      <c r="F168" s="13">
        <f t="shared" si="31"/>
        <v>87.68279154590914</v>
      </c>
      <c r="G168" s="11"/>
      <c r="H168" s="11"/>
      <c r="I168" s="12"/>
      <c r="J168" s="14"/>
    </row>
    <row r="169" spans="1:10" ht="24.75" customHeight="1">
      <c r="A169" s="17" t="s">
        <v>46</v>
      </c>
      <c r="B169" s="21" t="s">
        <v>12</v>
      </c>
      <c r="C169" s="11">
        <v>40453.173999999999</v>
      </c>
      <c r="D169" s="88">
        <v>34874.720999999998</v>
      </c>
      <c r="E169" s="12">
        <f t="shared" si="30"/>
        <v>-5578.4530000000013</v>
      </c>
      <c r="F169" s="13">
        <f t="shared" si="31"/>
        <v>86.21009812480969</v>
      </c>
      <c r="G169" s="11"/>
      <c r="H169" s="11"/>
      <c r="I169" s="12"/>
      <c r="J169" s="14"/>
    </row>
    <row r="170" spans="1:10" ht="22.5" customHeight="1">
      <c r="A170" s="17" t="s">
        <v>47</v>
      </c>
      <c r="B170" s="22" t="s">
        <v>13</v>
      </c>
      <c r="C170" s="11">
        <v>661.65</v>
      </c>
      <c r="D170" s="88"/>
      <c r="E170" s="12">
        <f t="shared" si="30"/>
        <v>-661.65</v>
      </c>
      <c r="F170" s="13">
        <f t="shared" si="31"/>
        <v>0</v>
      </c>
      <c r="G170" s="11"/>
      <c r="H170" s="11"/>
      <c r="I170" s="12"/>
      <c r="J170" s="14"/>
    </row>
    <row r="171" spans="1:10" ht="23.25" customHeight="1">
      <c r="A171" s="17" t="s">
        <v>49</v>
      </c>
      <c r="B171" s="20" t="s">
        <v>14</v>
      </c>
      <c r="C171" s="11">
        <v>1373.4639999999999</v>
      </c>
      <c r="D171" s="88">
        <v>215.82599999999999</v>
      </c>
      <c r="E171" s="12">
        <f t="shared" si="30"/>
        <v>-1157.6379999999999</v>
      </c>
      <c r="F171" s="13">
        <f t="shared" si="31"/>
        <v>15.713990319367671</v>
      </c>
      <c r="G171" s="11"/>
      <c r="H171" s="11"/>
      <c r="I171" s="12"/>
      <c r="J171" s="14"/>
    </row>
    <row r="172" spans="1:10" ht="24" customHeight="1">
      <c r="A172" s="17" t="s">
        <v>50</v>
      </c>
      <c r="B172" s="18" t="s">
        <v>51</v>
      </c>
      <c r="C172" s="11">
        <v>0</v>
      </c>
      <c r="D172" s="11"/>
      <c r="E172" s="12"/>
      <c r="F172" s="13"/>
      <c r="G172" s="11"/>
      <c r="H172" s="11"/>
      <c r="I172" s="12"/>
      <c r="J172" s="14"/>
    </row>
    <row r="173" spans="1:10" ht="29.25" customHeight="1">
      <c r="A173" s="23" t="s">
        <v>52</v>
      </c>
      <c r="B173" s="20" t="s">
        <v>62</v>
      </c>
      <c r="C173" s="11">
        <v>861.61300000000006</v>
      </c>
      <c r="D173" s="88">
        <v>666.75400000000002</v>
      </c>
      <c r="E173" s="12">
        <f t="shared" si="30"/>
        <v>-194.85900000000004</v>
      </c>
      <c r="F173" s="13">
        <f t="shared" si="31"/>
        <v>77.384394153755792</v>
      </c>
      <c r="G173" s="11"/>
      <c r="H173" s="11"/>
      <c r="I173" s="12"/>
      <c r="J173" s="14"/>
    </row>
    <row r="174" spans="1:10">
      <c r="A174" s="17" t="s">
        <v>53</v>
      </c>
      <c r="B174" s="24" t="s">
        <v>202</v>
      </c>
      <c r="C174" s="11">
        <v>557.52499999999998</v>
      </c>
      <c r="D174" s="88">
        <v>336.76400000000001</v>
      </c>
      <c r="E174" s="12">
        <f t="shared" si="30"/>
        <v>-220.76099999999997</v>
      </c>
      <c r="F174" s="13">
        <f t="shared" si="31"/>
        <v>60.403389982512003</v>
      </c>
      <c r="G174" s="11"/>
      <c r="H174" s="11"/>
      <c r="I174" s="12"/>
      <c r="J174" s="14"/>
    </row>
    <row r="175" spans="1:10" ht="37.5">
      <c r="A175" s="17" t="s">
        <v>54</v>
      </c>
      <c r="B175" s="24" t="s">
        <v>203</v>
      </c>
      <c r="C175" s="11">
        <f>C176+C177</f>
        <v>50967.021000000001</v>
      </c>
      <c r="D175" s="11">
        <f>D176+D177</f>
        <v>40086.131999999998</v>
      </c>
      <c r="E175" s="12">
        <f t="shared" si="30"/>
        <v>-10880.889000000003</v>
      </c>
      <c r="F175" s="13">
        <f t="shared" si="31"/>
        <v>78.651118337875786</v>
      </c>
      <c r="G175" s="11">
        <f>G176+G177</f>
        <v>2734.8530000000001</v>
      </c>
      <c r="H175" s="11">
        <f>H176+H177</f>
        <v>44504.800999999999</v>
      </c>
      <c r="I175" s="12">
        <f>SUM(H175-G175)</f>
        <v>41769.947999999997</v>
      </c>
      <c r="J175" s="19" t="s">
        <v>493</v>
      </c>
    </row>
    <row r="176" spans="1:10" ht="37.5">
      <c r="A176" s="17" t="s">
        <v>55</v>
      </c>
      <c r="B176" s="24" t="s">
        <v>63</v>
      </c>
      <c r="C176" s="11">
        <v>39920.639999999999</v>
      </c>
      <c r="D176" s="88">
        <v>32563.612000000001</v>
      </c>
      <c r="E176" s="12">
        <f t="shared" si="30"/>
        <v>-7357.0279999999984</v>
      </c>
      <c r="F176" s="13">
        <f t="shared" si="31"/>
        <v>81.570866599333087</v>
      </c>
      <c r="G176" s="11">
        <v>917.55</v>
      </c>
      <c r="H176" s="108">
        <v>40020.78</v>
      </c>
      <c r="I176" s="12">
        <f>SUM(H176-G176)</f>
        <v>39103.229999999996</v>
      </c>
      <c r="J176" s="19" t="s">
        <v>485</v>
      </c>
    </row>
    <row r="177" spans="1:10">
      <c r="A177" s="17" t="s">
        <v>56</v>
      </c>
      <c r="B177" s="24" t="s">
        <v>204</v>
      </c>
      <c r="C177" s="11">
        <v>11046.380999999999</v>
      </c>
      <c r="D177" s="88">
        <v>7522.52</v>
      </c>
      <c r="E177" s="12">
        <f t="shared" si="30"/>
        <v>-3523.860999999999</v>
      </c>
      <c r="F177" s="13">
        <f t="shared" si="31"/>
        <v>68.099407398676547</v>
      </c>
      <c r="G177" s="11">
        <v>1817.3030000000001</v>
      </c>
      <c r="H177" s="108">
        <v>4484.0209999999997</v>
      </c>
      <c r="I177" s="12">
        <f>SUM(H177-G177)</f>
        <v>2666.7179999999998</v>
      </c>
      <c r="J177" s="19" t="s">
        <v>458</v>
      </c>
    </row>
    <row r="178" spans="1:10">
      <c r="A178" s="17" t="s">
        <v>407</v>
      </c>
      <c r="B178" s="24" t="s">
        <v>408</v>
      </c>
      <c r="C178" s="11">
        <f>C179+C180</f>
        <v>715.55799999999999</v>
      </c>
      <c r="D178" s="11">
        <f>D179+D180</f>
        <v>0</v>
      </c>
      <c r="E178" s="12">
        <f t="shared" si="30"/>
        <v>-715.55799999999999</v>
      </c>
      <c r="F178" s="13">
        <f t="shared" si="31"/>
        <v>0</v>
      </c>
      <c r="G178" s="11">
        <f t="shared" ref="G178" si="34">G179+G180</f>
        <v>252.28800000000001</v>
      </c>
      <c r="H178" s="11">
        <f t="shared" ref="H178" si="35">H179+H180</f>
        <v>0</v>
      </c>
      <c r="I178" s="12">
        <f>SUM(H178-G178)</f>
        <v>-252.28800000000001</v>
      </c>
      <c r="J178" s="19">
        <f t="shared" ref="J178:J179" si="36">SUM(H178/G178*100)</f>
        <v>0</v>
      </c>
    </row>
    <row r="179" spans="1:10" ht="37.5">
      <c r="A179" s="17" t="s">
        <v>303</v>
      </c>
      <c r="B179" s="24" t="s">
        <v>304</v>
      </c>
      <c r="C179" s="11">
        <v>397.005</v>
      </c>
      <c r="D179" s="11"/>
      <c r="E179" s="12">
        <f t="shared" si="30"/>
        <v>-397.005</v>
      </c>
      <c r="F179" s="13">
        <f t="shared" si="31"/>
        <v>0</v>
      </c>
      <c r="G179" s="11">
        <v>252.28800000000001</v>
      </c>
      <c r="H179" s="11"/>
      <c r="I179" s="12">
        <f>SUM(H179-G179)</f>
        <v>-252.28800000000001</v>
      </c>
      <c r="J179" s="19">
        <f t="shared" si="36"/>
        <v>0</v>
      </c>
    </row>
    <row r="180" spans="1:10" ht="22.5" customHeight="1">
      <c r="A180" s="17" t="s">
        <v>301</v>
      </c>
      <c r="B180" s="24" t="s">
        <v>302</v>
      </c>
      <c r="C180" s="11">
        <v>318.553</v>
      </c>
      <c r="D180" s="11"/>
      <c r="E180" s="12">
        <f t="shared" si="30"/>
        <v>-318.553</v>
      </c>
      <c r="F180" s="13">
        <f t="shared" si="31"/>
        <v>0</v>
      </c>
      <c r="G180" s="11"/>
      <c r="H180" s="11"/>
      <c r="I180" s="12"/>
      <c r="J180" s="19"/>
    </row>
    <row r="181" spans="1:10" ht="23.25" customHeight="1">
      <c r="A181" s="17" t="s">
        <v>124</v>
      </c>
      <c r="B181" s="24" t="s">
        <v>64</v>
      </c>
      <c r="C181" s="11">
        <f>C182+C183+C184+C185</f>
        <v>5219.2139999999999</v>
      </c>
      <c r="D181" s="11">
        <f>D182+D183+D184+D185</f>
        <v>4303.2569999999996</v>
      </c>
      <c r="E181" s="12">
        <f t="shared" si="30"/>
        <v>-915.95700000000033</v>
      </c>
      <c r="F181" s="13">
        <f t="shared" si="31"/>
        <v>82.450288491715412</v>
      </c>
      <c r="G181" s="11">
        <f>G182+G183+G184+G185</f>
        <v>4851.6719800000001</v>
      </c>
      <c r="H181" s="11">
        <f>H182+H183+H184+H185</f>
        <v>527.18299999999999</v>
      </c>
      <c r="I181" s="12">
        <f>SUM(H181-G181)</f>
        <v>-4324.4889800000001</v>
      </c>
      <c r="J181" s="19">
        <f t="shared" ref="J181" si="37">SUM(H181/G181*100)</f>
        <v>10.86600665035067</v>
      </c>
    </row>
    <row r="182" spans="1:10">
      <c r="A182" s="17" t="s">
        <v>125</v>
      </c>
      <c r="B182" s="24" t="s">
        <v>272</v>
      </c>
      <c r="C182" s="11">
        <v>3451.172</v>
      </c>
      <c r="D182" s="88">
        <v>2854.9580000000001</v>
      </c>
      <c r="E182" s="12">
        <f t="shared" si="30"/>
        <v>-596.21399999999994</v>
      </c>
      <c r="F182" s="13">
        <f t="shared" si="31"/>
        <v>82.724303511966369</v>
      </c>
      <c r="G182" s="11">
        <v>2536.3579800000002</v>
      </c>
      <c r="H182" s="108">
        <v>511.84500000000003</v>
      </c>
      <c r="I182" s="12">
        <f>SUM(H182-G182)</f>
        <v>-2024.5129800000002</v>
      </c>
      <c r="J182" s="19"/>
    </row>
    <row r="183" spans="1:10" ht="24.75" customHeight="1">
      <c r="A183" s="17" t="s">
        <v>126</v>
      </c>
      <c r="B183" s="24" t="s">
        <v>65</v>
      </c>
      <c r="C183" s="11">
        <v>87.667000000000002</v>
      </c>
      <c r="D183" s="88"/>
      <c r="E183" s="12">
        <f t="shared" si="30"/>
        <v>-87.667000000000002</v>
      </c>
      <c r="F183" s="13">
        <f t="shared" si="31"/>
        <v>0</v>
      </c>
      <c r="G183" s="11"/>
      <c r="H183" s="11"/>
      <c r="I183" s="12"/>
      <c r="J183" s="14"/>
    </row>
    <row r="184" spans="1:10" ht="23.25" customHeight="1">
      <c r="A184" s="17" t="s">
        <v>205</v>
      </c>
      <c r="B184" s="24" t="s">
        <v>66</v>
      </c>
      <c r="C184" s="11">
        <v>420.923</v>
      </c>
      <c r="D184" s="88">
        <v>308.64299999999997</v>
      </c>
      <c r="E184" s="12">
        <f t="shared" si="30"/>
        <v>-112.28000000000003</v>
      </c>
      <c r="F184" s="13">
        <f t="shared" si="31"/>
        <v>73.325287522896105</v>
      </c>
      <c r="G184" s="11"/>
      <c r="H184" s="11"/>
      <c r="I184" s="12"/>
      <c r="J184" s="14"/>
    </row>
    <row r="185" spans="1:10" ht="21.75" customHeight="1">
      <c r="A185" s="17" t="s">
        <v>442</v>
      </c>
      <c r="B185" s="24" t="s">
        <v>443</v>
      </c>
      <c r="C185" s="11">
        <v>1259.452</v>
      </c>
      <c r="D185" s="88">
        <v>1139.6559999999999</v>
      </c>
      <c r="E185" s="12">
        <f t="shared" si="30"/>
        <v>-119.79600000000005</v>
      </c>
      <c r="F185" s="13">
        <f t="shared" si="31"/>
        <v>90.488244093462868</v>
      </c>
      <c r="G185" s="11">
        <v>2315.3139999999999</v>
      </c>
      <c r="H185" s="108">
        <v>15.337999999999999</v>
      </c>
      <c r="I185" s="12">
        <f>SUM(H185-G185)</f>
        <v>-2299.9759999999997</v>
      </c>
      <c r="J185" s="19">
        <f t="shared" ref="J185" si="38">SUM(H185/G185*100)</f>
        <v>0.66245874209718414</v>
      </c>
    </row>
    <row r="186" spans="1:10" ht="25.5" customHeight="1">
      <c r="A186" s="17" t="s">
        <v>57</v>
      </c>
      <c r="B186" s="25" t="s">
        <v>67</v>
      </c>
      <c r="C186" s="11">
        <f>SUM(C187)</f>
        <v>3749.991</v>
      </c>
      <c r="D186" s="11">
        <f>SUM(D187)</f>
        <v>200</v>
      </c>
      <c r="E186" s="12">
        <f t="shared" si="30"/>
        <v>-3549.991</v>
      </c>
      <c r="F186" s="13">
        <f t="shared" si="31"/>
        <v>5.3333461333640537</v>
      </c>
      <c r="G186" s="11"/>
      <c r="H186" s="11"/>
      <c r="I186" s="12"/>
      <c r="J186" s="14"/>
    </row>
    <row r="187" spans="1:10" ht="21.75" customHeight="1">
      <c r="A187" s="23" t="s">
        <v>58</v>
      </c>
      <c r="B187" s="25" t="s">
        <v>206</v>
      </c>
      <c r="C187" s="11">
        <v>3749.991</v>
      </c>
      <c r="D187" s="88">
        <v>200</v>
      </c>
      <c r="E187" s="12">
        <f t="shared" si="30"/>
        <v>-3549.991</v>
      </c>
      <c r="F187" s="13">
        <f t="shared" si="31"/>
        <v>5.3333461333640537</v>
      </c>
      <c r="G187" s="11"/>
      <c r="H187" s="11"/>
      <c r="I187" s="12"/>
      <c r="J187" s="14"/>
    </row>
    <row r="188" spans="1:10" ht="45.75" customHeight="1">
      <c r="A188" s="23" t="s">
        <v>305</v>
      </c>
      <c r="B188" s="25" t="s">
        <v>306</v>
      </c>
      <c r="C188" s="11">
        <v>13460.005999999999</v>
      </c>
      <c r="D188" s="88"/>
      <c r="E188" s="12">
        <f t="shared" si="30"/>
        <v>-13460.005999999999</v>
      </c>
      <c r="F188" s="13">
        <f t="shared" si="31"/>
        <v>0</v>
      </c>
      <c r="G188" s="11"/>
      <c r="H188" s="11"/>
      <c r="I188" s="12"/>
      <c r="J188" s="14"/>
    </row>
    <row r="189" spans="1:10" ht="56.25">
      <c r="A189" s="23" t="s">
        <v>107</v>
      </c>
      <c r="B189" s="25" t="s">
        <v>207</v>
      </c>
      <c r="C189" s="11">
        <v>6179.24</v>
      </c>
      <c r="D189" s="88">
        <v>8152.8459999999995</v>
      </c>
      <c r="E189" s="12">
        <f t="shared" si="30"/>
        <v>1973.6059999999998</v>
      </c>
      <c r="F189" s="13">
        <f t="shared" si="31"/>
        <v>131.93929997863813</v>
      </c>
      <c r="G189" s="11"/>
      <c r="H189" s="11"/>
      <c r="I189" s="12"/>
      <c r="J189" s="14"/>
    </row>
    <row r="190" spans="1:10">
      <c r="A190" s="26" t="s">
        <v>127</v>
      </c>
      <c r="B190" s="27" t="s">
        <v>208</v>
      </c>
      <c r="C190" s="11">
        <f>C191+C192</f>
        <v>253.827</v>
      </c>
      <c r="D190" s="11">
        <f>D191+D192</f>
        <v>247.297</v>
      </c>
      <c r="E190" s="12">
        <f t="shared" si="30"/>
        <v>-6.5300000000000011</v>
      </c>
      <c r="F190" s="13">
        <f t="shared" si="31"/>
        <v>97.427381641826912</v>
      </c>
      <c r="G190" s="11"/>
      <c r="H190" s="11"/>
      <c r="I190" s="12"/>
      <c r="J190" s="14"/>
    </row>
    <row r="191" spans="1:10" ht="37.5">
      <c r="A191" s="26" t="s">
        <v>128</v>
      </c>
      <c r="B191" s="27" t="s">
        <v>227</v>
      </c>
      <c r="C191" s="11">
        <v>253.74299999999999</v>
      </c>
      <c r="D191" s="88">
        <v>247.297</v>
      </c>
      <c r="E191" s="12">
        <f t="shared" si="30"/>
        <v>-6.445999999999998</v>
      </c>
      <c r="F191" s="13">
        <f t="shared" si="31"/>
        <v>97.459634354445242</v>
      </c>
      <c r="G191" s="11"/>
      <c r="H191" s="11"/>
      <c r="I191" s="12"/>
      <c r="J191" s="14"/>
    </row>
    <row r="192" spans="1:10">
      <c r="A192" s="26" t="s">
        <v>209</v>
      </c>
      <c r="B192" s="27" t="s">
        <v>210</v>
      </c>
      <c r="C192" s="11">
        <v>8.4000000000000005E-2</v>
      </c>
      <c r="D192" s="11"/>
      <c r="E192" s="12">
        <f t="shared" si="30"/>
        <v>-8.4000000000000005E-2</v>
      </c>
      <c r="F192" s="13">
        <f t="shared" si="31"/>
        <v>0</v>
      </c>
      <c r="G192" s="11"/>
      <c r="H192" s="11"/>
      <c r="I192" s="12"/>
      <c r="J192" s="14"/>
    </row>
    <row r="193" spans="1:10" ht="56.25">
      <c r="A193" s="26" t="s">
        <v>59</v>
      </c>
      <c r="B193" s="27" t="s">
        <v>211</v>
      </c>
      <c r="C193" s="11">
        <v>25.199000000000002</v>
      </c>
      <c r="D193" s="11"/>
      <c r="E193" s="12">
        <f t="shared" si="30"/>
        <v>-25.199000000000002</v>
      </c>
      <c r="F193" s="13">
        <f t="shared" si="31"/>
        <v>0</v>
      </c>
      <c r="G193" s="11"/>
      <c r="H193" s="11"/>
      <c r="I193" s="12"/>
      <c r="J193" s="14"/>
    </row>
    <row r="194" spans="1:10" ht="26.25" customHeight="1">
      <c r="A194" s="26" t="s">
        <v>60</v>
      </c>
      <c r="B194" s="27" t="s">
        <v>68</v>
      </c>
      <c r="C194" s="11">
        <f>C195+C196</f>
        <v>18406.698</v>
      </c>
      <c r="D194" s="11">
        <f>D195+D196</f>
        <v>12035.825000000001</v>
      </c>
      <c r="E194" s="12">
        <f t="shared" si="30"/>
        <v>-6370.8729999999996</v>
      </c>
      <c r="F194" s="13">
        <f t="shared" si="31"/>
        <v>65.388289632393608</v>
      </c>
      <c r="G194" s="11"/>
      <c r="H194" s="11"/>
      <c r="I194" s="48"/>
      <c r="J194" s="14"/>
    </row>
    <row r="195" spans="1:10" ht="30" customHeight="1">
      <c r="A195" s="23" t="s">
        <v>129</v>
      </c>
      <c r="B195" s="24" t="s">
        <v>213</v>
      </c>
      <c r="C195" s="11">
        <v>16144.932000000001</v>
      </c>
      <c r="D195" s="88">
        <v>10556.963</v>
      </c>
      <c r="E195" s="12">
        <f t="shared" si="30"/>
        <v>-5587.969000000001</v>
      </c>
      <c r="F195" s="13">
        <f t="shared" si="31"/>
        <v>65.388711454467568</v>
      </c>
      <c r="G195" s="11"/>
      <c r="H195" s="11"/>
      <c r="I195" s="12"/>
      <c r="J195" s="14"/>
    </row>
    <row r="196" spans="1:10" ht="37.5">
      <c r="A196" s="23" t="s">
        <v>130</v>
      </c>
      <c r="B196" s="28" t="s">
        <v>273</v>
      </c>
      <c r="C196" s="11">
        <v>2261.7660000000001</v>
      </c>
      <c r="D196" s="88">
        <v>1478.8620000000001</v>
      </c>
      <c r="E196" s="12">
        <f t="shared" si="30"/>
        <v>-782.904</v>
      </c>
      <c r="F196" s="13">
        <f t="shared" si="31"/>
        <v>65.3852785831956</v>
      </c>
      <c r="G196" s="11"/>
      <c r="H196" s="11"/>
      <c r="I196" s="12"/>
      <c r="J196" s="14"/>
    </row>
    <row r="197" spans="1:10" ht="30.75" customHeight="1">
      <c r="A197" s="23" t="s">
        <v>131</v>
      </c>
      <c r="B197" s="28" t="s">
        <v>260</v>
      </c>
      <c r="C197" s="11"/>
      <c r="D197" s="11"/>
      <c r="E197" s="12"/>
      <c r="F197" s="13"/>
      <c r="G197" s="11"/>
      <c r="H197" s="11"/>
      <c r="I197" s="12"/>
      <c r="J197" s="19"/>
    </row>
    <row r="198" spans="1:10" ht="40.5" customHeight="1">
      <c r="A198" s="23" t="s">
        <v>401</v>
      </c>
      <c r="B198" s="28" t="s">
        <v>402</v>
      </c>
      <c r="C198" s="11"/>
      <c r="D198" s="11"/>
      <c r="E198" s="12"/>
      <c r="F198" s="13"/>
      <c r="G198" s="11">
        <f>SUM(G199+G200+G201)</f>
        <v>23813.931000000004</v>
      </c>
      <c r="H198" s="11"/>
      <c r="I198" s="12">
        <f t="shared" ref="I198:I204" si="39">SUM(H198-G198)</f>
        <v>-23813.931000000004</v>
      </c>
      <c r="J198" s="19">
        <f t="shared" ref="J198:J204" si="40">SUM(H198/G198*100)</f>
        <v>0</v>
      </c>
    </row>
    <row r="199" spans="1:10" ht="117" customHeight="1">
      <c r="A199" s="23" t="s">
        <v>403</v>
      </c>
      <c r="B199" s="28" t="s">
        <v>404</v>
      </c>
      <c r="C199" s="11"/>
      <c r="D199" s="11"/>
      <c r="E199" s="12"/>
      <c r="F199" s="13"/>
      <c r="G199" s="11">
        <v>2429.0740000000001</v>
      </c>
      <c r="H199" s="11"/>
      <c r="I199" s="12">
        <f t="shared" si="39"/>
        <v>-2429.0740000000001</v>
      </c>
      <c r="J199" s="19">
        <f t="shared" si="40"/>
        <v>0</v>
      </c>
    </row>
    <row r="200" spans="1:10" ht="201" customHeight="1">
      <c r="A200" s="23" t="s">
        <v>405</v>
      </c>
      <c r="B200" s="27" t="s">
        <v>406</v>
      </c>
      <c r="C200" s="11"/>
      <c r="D200" s="11"/>
      <c r="E200" s="12"/>
      <c r="F200" s="13"/>
      <c r="G200" s="11">
        <v>20321.348000000002</v>
      </c>
      <c r="H200" s="11"/>
      <c r="I200" s="12">
        <f t="shared" si="39"/>
        <v>-20321.348000000002</v>
      </c>
      <c r="J200" s="19">
        <f t="shared" si="40"/>
        <v>0</v>
      </c>
    </row>
    <row r="201" spans="1:10" ht="144.75" customHeight="1">
      <c r="A201" s="23" t="s">
        <v>444</v>
      </c>
      <c r="B201" s="27" t="s">
        <v>445</v>
      </c>
      <c r="C201" s="11"/>
      <c r="D201" s="11"/>
      <c r="E201" s="12"/>
      <c r="F201" s="13"/>
      <c r="G201" s="11">
        <v>1063.509</v>
      </c>
      <c r="H201" s="11"/>
      <c r="I201" s="12">
        <f t="shared" si="39"/>
        <v>-1063.509</v>
      </c>
      <c r="J201" s="19">
        <f t="shared" si="40"/>
        <v>0</v>
      </c>
    </row>
    <row r="202" spans="1:10" ht="22.5" customHeight="1">
      <c r="A202" s="23" t="s">
        <v>61</v>
      </c>
      <c r="B202" s="20" t="s">
        <v>214</v>
      </c>
      <c r="C202" s="11">
        <f>C203+C204</f>
        <v>31573.531000000003</v>
      </c>
      <c r="D202" s="11">
        <f>D203+D204</f>
        <v>21964.375</v>
      </c>
      <c r="E202" s="12">
        <f t="shared" si="30"/>
        <v>-9609.1560000000027</v>
      </c>
      <c r="F202" s="13">
        <f t="shared" si="31"/>
        <v>69.565785974334005</v>
      </c>
      <c r="G202" s="11">
        <f>G203+G204</f>
        <v>2367.527</v>
      </c>
      <c r="H202" s="11">
        <f>H203+H204</f>
        <v>1895.4749999999999</v>
      </c>
      <c r="I202" s="12">
        <f t="shared" si="39"/>
        <v>-472.05200000000013</v>
      </c>
      <c r="J202" s="19">
        <f t="shared" si="40"/>
        <v>80.061388951424846</v>
      </c>
    </row>
    <row r="203" spans="1:10" ht="22.5" customHeight="1">
      <c r="A203" s="23" t="s">
        <v>132</v>
      </c>
      <c r="B203" s="20" t="s">
        <v>215</v>
      </c>
      <c r="C203" s="11">
        <v>16163.021000000001</v>
      </c>
      <c r="D203" s="88">
        <v>14649.887000000001</v>
      </c>
      <c r="E203" s="12">
        <f t="shared" si="30"/>
        <v>-1513.134</v>
      </c>
      <c r="F203" s="13">
        <f t="shared" si="31"/>
        <v>90.638297135170461</v>
      </c>
      <c r="G203" s="11">
        <v>1393.587</v>
      </c>
      <c r="H203" s="108">
        <v>1895.4749999999999</v>
      </c>
      <c r="I203" s="12">
        <f t="shared" si="39"/>
        <v>501.88799999999992</v>
      </c>
      <c r="J203" s="19">
        <f t="shared" si="40"/>
        <v>136.01411322005731</v>
      </c>
    </row>
    <row r="204" spans="1:10" ht="22.5" customHeight="1">
      <c r="A204" s="23" t="s">
        <v>133</v>
      </c>
      <c r="B204" s="20" t="s">
        <v>216</v>
      </c>
      <c r="C204" s="11">
        <v>15410.51</v>
      </c>
      <c r="D204" s="88">
        <v>7314.4880000000003</v>
      </c>
      <c r="E204" s="12">
        <f t="shared" si="30"/>
        <v>-8096.0219999999999</v>
      </c>
      <c r="F204" s="13">
        <f t="shared" si="31"/>
        <v>47.464282492922038</v>
      </c>
      <c r="G204" s="11">
        <v>973.94</v>
      </c>
      <c r="H204" s="11"/>
      <c r="I204" s="12">
        <f t="shared" si="39"/>
        <v>-973.94</v>
      </c>
      <c r="J204" s="19">
        <f t="shared" si="40"/>
        <v>0</v>
      </c>
    </row>
    <row r="205" spans="1:10" ht="20.25">
      <c r="A205" s="29" t="s">
        <v>71</v>
      </c>
      <c r="B205" s="16" t="s">
        <v>10</v>
      </c>
      <c r="C205" s="31">
        <f>SUM(C206:C208)</f>
        <v>144263.13289000001</v>
      </c>
      <c r="D205" s="31">
        <f>SUM(D206:D208)</f>
        <v>98015.955999999991</v>
      </c>
      <c r="E205" s="31">
        <f t="shared" ref="E205:E210" si="41">SUM(D205-C205)</f>
        <v>-46247.176890000017</v>
      </c>
      <c r="F205" s="30">
        <f t="shared" ref="F205:F210" si="42">SUM(D205/C205*100)</f>
        <v>67.942484012694166</v>
      </c>
      <c r="G205" s="31">
        <f>SUM(G206:G208)</f>
        <v>4840.9527500000004</v>
      </c>
      <c r="H205" s="31">
        <f>SUM(H206:H208)</f>
        <v>421.834</v>
      </c>
      <c r="I205" s="31">
        <f t="shared" ref="I205:I207" si="43">SUM(H205-G205)</f>
        <v>-4419.1187500000005</v>
      </c>
      <c r="J205" s="32">
        <f t="shared" ref="J205" si="44">SUM(H205/G205*100)</f>
        <v>8.7138631956281749</v>
      </c>
    </row>
    <row r="206" spans="1:10">
      <c r="A206" s="17" t="s">
        <v>134</v>
      </c>
      <c r="B206" s="25" t="s">
        <v>151</v>
      </c>
      <c r="C206" s="12">
        <v>49606.370329999998</v>
      </c>
      <c r="D206" s="88">
        <v>35259.591999999997</v>
      </c>
      <c r="E206" s="12">
        <f t="shared" si="41"/>
        <v>-14346.778330000001</v>
      </c>
      <c r="F206" s="13">
        <f t="shared" si="42"/>
        <v>71.07875816238942</v>
      </c>
      <c r="G206" s="12">
        <v>1605.1163300000001</v>
      </c>
      <c r="H206" s="12">
        <v>132.71899999999999</v>
      </c>
      <c r="I206" s="12">
        <f t="shared" si="43"/>
        <v>-1472.39733</v>
      </c>
      <c r="J206" s="14">
        <f>SUM(H206/G206*100)</f>
        <v>8.2684972745869452</v>
      </c>
    </row>
    <row r="207" spans="1:10" ht="20.25" customHeight="1">
      <c r="A207" s="17" t="s">
        <v>72</v>
      </c>
      <c r="B207" s="20" t="s">
        <v>222</v>
      </c>
      <c r="C207" s="11">
        <v>33557.75563</v>
      </c>
      <c r="D207" s="88">
        <v>26090.115000000002</v>
      </c>
      <c r="E207" s="12">
        <f t="shared" si="41"/>
        <v>-7467.6406299999981</v>
      </c>
      <c r="F207" s="13">
        <f t="shared" si="42"/>
        <v>77.746900858518472</v>
      </c>
      <c r="G207" s="11">
        <v>1966.0244</v>
      </c>
      <c r="H207" s="108">
        <v>235.87299999999999</v>
      </c>
      <c r="I207" s="12">
        <f t="shared" si="43"/>
        <v>-1730.1514</v>
      </c>
      <c r="J207" s="14">
        <f t="shared" ref="J207" si="45">SUM(H207/G207*100)</f>
        <v>11.99746045878169</v>
      </c>
    </row>
    <row r="208" spans="1:10" ht="20.25" customHeight="1">
      <c r="A208" s="17" t="s">
        <v>135</v>
      </c>
      <c r="B208" s="25" t="s">
        <v>152</v>
      </c>
      <c r="C208" s="11">
        <f>SUM(C209:C210)</f>
        <v>61099.006930000003</v>
      </c>
      <c r="D208" s="11">
        <f>SUM(D209:D210)</f>
        <v>36666.248999999996</v>
      </c>
      <c r="E208" s="12">
        <f t="shared" si="41"/>
        <v>-24432.757930000007</v>
      </c>
      <c r="F208" s="13">
        <f t="shared" si="42"/>
        <v>60.011202869480087</v>
      </c>
      <c r="G208" s="11">
        <f>SUM(G209:G210)</f>
        <v>1269.8120200000001</v>
      </c>
      <c r="H208" s="11">
        <f>SUM(H209:H210)</f>
        <v>53.241999999999997</v>
      </c>
      <c r="I208" s="12">
        <f t="shared" ref="I208:I210" si="46">SUM(H208-G208)</f>
        <v>-1216.5700200000001</v>
      </c>
      <c r="J208" s="14">
        <f t="shared" ref="J208:J210" si="47">SUM(H208/G208*100)</f>
        <v>4.1929040804008135</v>
      </c>
    </row>
    <row r="209" spans="1:10" ht="20.25" customHeight="1">
      <c r="A209" s="17" t="s">
        <v>136</v>
      </c>
      <c r="B209" s="25" t="s">
        <v>153</v>
      </c>
      <c r="C209" s="11">
        <v>56549.9519</v>
      </c>
      <c r="D209" s="88">
        <v>35739.296999999999</v>
      </c>
      <c r="E209" s="12">
        <f t="shared" si="41"/>
        <v>-20810.654900000001</v>
      </c>
      <c r="F209" s="13">
        <f t="shared" si="42"/>
        <v>63.199517946893245</v>
      </c>
      <c r="G209" s="11">
        <v>1067.3686700000001</v>
      </c>
      <c r="H209" s="108">
        <v>53.241999999999997</v>
      </c>
      <c r="I209" s="12">
        <f t="shared" si="46"/>
        <v>-1014.1266700000001</v>
      </c>
      <c r="J209" s="14">
        <f t="shared" si="47"/>
        <v>4.988154655129609</v>
      </c>
    </row>
    <row r="210" spans="1:10" ht="20.25" customHeight="1">
      <c r="A210" s="17" t="s">
        <v>137</v>
      </c>
      <c r="B210" s="25" t="s">
        <v>154</v>
      </c>
      <c r="C210" s="11">
        <v>4549.0550300000004</v>
      </c>
      <c r="D210" s="88">
        <v>926.952</v>
      </c>
      <c r="E210" s="12">
        <f t="shared" si="41"/>
        <v>-3622.1030300000002</v>
      </c>
      <c r="F210" s="13">
        <f t="shared" si="42"/>
        <v>20.376803399540318</v>
      </c>
      <c r="G210" s="11">
        <v>202.44335000000001</v>
      </c>
      <c r="H210" s="11"/>
      <c r="I210" s="12">
        <f t="shared" si="46"/>
        <v>-202.44335000000001</v>
      </c>
      <c r="J210" s="14">
        <f t="shared" si="47"/>
        <v>0</v>
      </c>
    </row>
    <row r="211" spans="1:10" ht="20.25">
      <c r="A211" s="29" t="s">
        <v>73</v>
      </c>
      <c r="B211" s="58" t="s">
        <v>11</v>
      </c>
      <c r="C211" s="31">
        <f>SUM(C212+C215+C219+C221)</f>
        <v>167938.45099999997</v>
      </c>
      <c r="D211" s="31">
        <f>SUM(D212+D215+D219+D221)</f>
        <v>123361.955</v>
      </c>
      <c r="E211" s="31">
        <f t="shared" ref="E211:E223" si="48">SUM(D211-C211)</f>
        <v>-44576.49599999997</v>
      </c>
      <c r="F211" s="30">
        <f t="shared" ref="F211:F223" si="49">SUM(D211/C211*100)</f>
        <v>73.456646923580365</v>
      </c>
      <c r="G211" s="31">
        <f>SUM(G212+G215+G219+G221)</f>
        <v>8049.6590000000006</v>
      </c>
      <c r="H211" s="31">
        <f>SUM(H212+H215+H219+H221)</f>
        <v>1010.9450000000001</v>
      </c>
      <c r="I211" s="31">
        <f t="shared" ref="I211" si="50">SUM(H211-G211)</f>
        <v>-7038.7140000000009</v>
      </c>
      <c r="J211" s="32">
        <f>SUM(H211/G211*100)</f>
        <v>12.558854977583522</v>
      </c>
    </row>
    <row r="212" spans="1:10">
      <c r="A212" s="23" t="s">
        <v>75</v>
      </c>
      <c r="B212" s="25" t="s">
        <v>74</v>
      </c>
      <c r="C212" s="12">
        <f>C213+C214</f>
        <v>4255.9880000000003</v>
      </c>
      <c r="D212" s="12">
        <f>D213+D214</f>
        <v>2561.1009999999997</v>
      </c>
      <c r="E212" s="12">
        <f t="shared" si="48"/>
        <v>-1694.8870000000006</v>
      </c>
      <c r="F212" s="13">
        <f t="shared" si="49"/>
        <v>60.176414971094829</v>
      </c>
      <c r="G212" s="12"/>
      <c r="H212" s="12"/>
      <c r="I212" s="12"/>
      <c r="J212" s="14"/>
    </row>
    <row r="213" spans="1:10">
      <c r="A213" s="17" t="s">
        <v>76</v>
      </c>
      <c r="B213" s="25" t="s">
        <v>87</v>
      </c>
      <c r="C213" s="11">
        <v>3716.328</v>
      </c>
      <c r="D213" s="88">
        <v>2125.3719999999998</v>
      </c>
      <c r="E213" s="12">
        <f t="shared" si="48"/>
        <v>-1590.9560000000001</v>
      </c>
      <c r="F213" s="13">
        <f t="shared" si="49"/>
        <v>57.190108085185152</v>
      </c>
      <c r="G213" s="11"/>
      <c r="H213" s="11"/>
      <c r="I213" s="12"/>
      <c r="J213" s="14"/>
    </row>
    <row r="214" spans="1:10">
      <c r="A214" s="17" t="s">
        <v>77</v>
      </c>
      <c r="B214" s="25" t="s">
        <v>88</v>
      </c>
      <c r="C214" s="11">
        <v>539.66</v>
      </c>
      <c r="D214" s="88">
        <v>435.72899999999998</v>
      </c>
      <c r="E214" s="12">
        <f t="shared" si="48"/>
        <v>-103.93099999999998</v>
      </c>
      <c r="F214" s="13">
        <f t="shared" si="49"/>
        <v>80.741392728755145</v>
      </c>
      <c r="G214" s="11"/>
      <c r="H214" s="11"/>
      <c r="I214" s="12"/>
      <c r="J214" s="14"/>
    </row>
    <row r="215" spans="1:10">
      <c r="A215" s="33" t="s">
        <v>78</v>
      </c>
      <c r="B215" s="47" t="s">
        <v>89</v>
      </c>
      <c r="C215" s="11">
        <f>C216+C217+C218</f>
        <v>122366.92799999999</v>
      </c>
      <c r="D215" s="11">
        <f>D216+D217+D218</f>
        <v>96044.402000000002</v>
      </c>
      <c r="E215" s="12">
        <f t="shared" si="48"/>
        <v>-26322.525999999983</v>
      </c>
      <c r="F215" s="13">
        <f t="shared" si="49"/>
        <v>78.488856073922207</v>
      </c>
      <c r="G215" s="11">
        <f>G216+G217+G218</f>
        <v>6813.3780000000006</v>
      </c>
      <c r="H215" s="11">
        <f>H216+H217+H218</f>
        <v>484.18200000000002</v>
      </c>
      <c r="I215" s="12">
        <f t="shared" ref="I215:I218" si="51">SUM(H215-G215)</f>
        <v>-6329.1960000000008</v>
      </c>
      <c r="J215" s="14">
        <f>SUM(H215/G215*100)</f>
        <v>7.1063428449148134</v>
      </c>
    </row>
    <row r="216" spans="1:10">
      <c r="A216" s="33" t="s">
        <v>79</v>
      </c>
      <c r="B216" s="47" t="s">
        <v>90</v>
      </c>
      <c r="C216" s="11">
        <v>102815.836</v>
      </c>
      <c r="D216" s="88">
        <v>83975.884000000005</v>
      </c>
      <c r="E216" s="12">
        <f t="shared" si="48"/>
        <v>-18839.95199999999</v>
      </c>
      <c r="F216" s="13">
        <f t="shared" si="49"/>
        <v>81.676021191910564</v>
      </c>
      <c r="G216" s="11">
        <f>4790.961+580.276</f>
        <v>5371.2370000000001</v>
      </c>
      <c r="H216" s="108">
        <v>413.56400000000002</v>
      </c>
      <c r="I216" s="12">
        <f t="shared" si="51"/>
        <v>-4957.6729999999998</v>
      </c>
      <c r="J216" s="14">
        <f>SUM(H216/G216*100)</f>
        <v>7.6996043928056048</v>
      </c>
    </row>
    <row r="217" spans="1:10" ht="17.25" customHeight="1">
      <c r="A217" s="33" t="s">
        <v>80</v>
      </c>
      <c r="B217" s="47" t="s">
        <v>91</v>
      </c>
      <c r="C217" s="11">
        <v>4671.9759999999997</v>
      </c>
      <c r="D217" s="88">
        <v>1888.529</v>
      </c>
      <c r="E217" s="12">
        <f t="shared" si="48"/>
        <v>-2783.4469999999997</v>
      </c>
      <c r="F217" s="13">
        <f t="shared" si="49"/>
        <v>40.422489327856134</v>
      </c>
      <c r="G217" s="11"/>
      <c r="H217" s="11"/>
      <c r="I217" s="12"/>
      <c r="J217" s="14"/>
    </row>
    <row r="218" spans="1:10">
      <c r="A218" s="33" t="s">
        <v>81</v>
      </c>
      <c r="B218" s="47" t="s">
        <v>92</v>
      </c>
      <c r="C218" s="11">
        <v>14879.116</v>
      </c>
      <c r="D218" s="88">
        <v>10179.989</v>
      </c>
      <c r="E218" s="12">
        <f t="shared" si="48"/>
        <v>-4699.1270000000004</v>
      </c>
      <c r="F218" s="13">
        <f t="shared" si="49"/>
        <v>68.41796918580377</v>
      </c>
      <c r="G218" s="48">
        <v>1442.1410000000001</v>
      </c>
      <c r="H218" s="108">
        <v>70.617999999999995</v>
      </c>
      <c r="I218" s="12">
        <f t="shared" si="51"/>
        <v>-1371.5230000000001</v>
      </c>
      <c r="J218" s="14">
        <f>SUM(H218/G218*100)</f>
        <v>4.8967472667374405</v>
      </c>
    </row>
    <row r="219" spans="1:10">
      <c r="A219" s="33" t="s">
        <v>82</v>
      </c>
      <c r="B219" s="47" t="s">
        <v>93</v>
      </c>
      <c r="C219" s="108">
        <f>C220</f>
        <v>21309.576000000001</v>
      </c>
      <c r="D219" s="108">
        <f>D220</f>
        <v>16612.530999999999</v>
      </c>
      <c r="E219" s="12">
        <f t="shared" si="48"/>
        <v>-4697.0450000000019</v>
      </c>
      <c r="F219" s="13">
        <f t="shared" si="49"/>
        <v>77.958055101612516</v>
      </c>
      <c r="G219" s="12">
        <f>G220</f>
        <v>1236.2809999999999</v>
      </c>
      <c r="H219" s="12">
        <f>H220</f>
        <v>345.69</v>
      </c>
      <c r="I219" s="12">
        <f t="shared" ref="I219" si="52">SUM(H219-G219)</f>
        <v>-890.59099999999989</v>
      </c>
      <c r="J219" s="14">
        <f>SUM(H219/G219*100)</f>
        <v>27.96208952495428</v>
      </c>
    </row>
    <row r="220" spans="1:10">
      <c r="A220" s="33" t="s">
        <v>83</v>
      </c>
      <c r="B220" s="47" t="s">
        <v>94</v>
      </c>
      <c r="C220" s="11">
        <v>21309.576000000001</v>
      </c>
      <c r="D220" s="88">
        <v>16612.530999999999</v>
      </c>
      <c r="E220" s="12">
        <f t="shared" si="48"/>
        <v>-4697.0450000000019</v>
      </c>
      <c r="F220" s="13">
        <f t="shared" si="49"/>
        <v>77.958055101612516</v>
      </c>
      <c r="G220" s="48">
        <v>1236.2809999999999</v>
      </c>
      <c r="H220" s="108">
        <v>345.69</v>
      </c>
      <c r="I220" s="12">
        <f t="shared" ref="I220" si="53">SUM(H220-G220)</f>
        <v>-890.59099999999989</v>
      </c>
      <c r="J220" s="14">
        <f>SUM(H220/G220*100)</f>
        <v>27.96208952495428</v>
      </c>
    </row>
    <row r="221" spans="1:10">
      <c r="A221" s="33" t="s">
        <v>84</v>
      </c>
      <c r="B221" s="47" t="s">
        <v>95</v>
      </c>
      <c r="C221" s="11">
        <f>C222+C223</f>
        <v>20005.958999999999</v>
      </c>
      <c r="D221" s="11">
        <f>D222+D223</f>
        <v>8143.9210000000003</v>
      </c>
      <c r="E221" s="12">
        <f t="shared" si="48"/>
        <v>-11862.037999999999</v>
      </c>
      <c r="F221" s="13">
        <f t="shared" si="49"/>
        <v>40.707476207463991</v>
      </c>
      <c r="G221" s="11"/>
      <c r="H221" s="11">
        <f>SUM(H222:H223)</f>
        <v>181.07300000000001</v>
      </c>
      <c r="I221" s="12">
        <f t="shared" ref="I221" si="54">SUM(H221-G221)</f>
        <v>181.07300000000001</v>
      </c>
      <c r="J221" s="14"/>
    </row>
    <row r="222" spans="1:10" ht="37.5">
      <c r="A222" s="33" t="s">
        <v>85</v>
      </c>
      <c r="B222" s="47" t="s">
        <v>96</v>
      </c>
      <c r="C222" s="11">
        <v>16011.266</v>
      </c>
      <c r="D222" s="88">
        <v>4801.5050000000001</v>
      </c>
      <c r="E222" s="12">
        <f t="shared" si="48"/>
        <v>-11209.760999999999</v>
      </c>
      <c r="F222" s="13">
        <f t="shared" si="49"/>
        <v>29.988290744779334</v>
      </c>
      <c r="G222" s="48"/>
      <c r="H222" s="48"/>
      <c r="I222" s="12"/>
      <c r="J222" s="14"/>
    </row>
    <row r="223" spans="1:10">
      <c r="A223" s="33" t="s">
        <v>86</v>
      </c>
      <c r="B223" s="47" t="s">
        <v>97</v>
      </c>
      <c r="C223" s="11">
        <v>3994.6930000000002</v>
      </c>
      <c r="D223" s="88">
        <v>3342.4160000000002</v>
      </c>
      <c r="E223" s="12">
        <f t="shared" si="48"/>
        <v>-652.27700000000004</v>
      </c>
      <c r="F223" s="13">
        <f t="shared" si="49"/>
        <v>83.671411044603431</v>
      </c>
      <c r="G223" s="48"/>
      <c r="H223" s="108">
        <v>181.07300000000001</v>
      </c>
      <c r="I223" s="12">
        <f t="shared" ref="I223" si="55">SUM(H223-G223)</f>
        <v>181.07300000000001</v>
      </c>
      <c r="J223" s="14"/>
    </row>
    <row r="224" spans="1:10" ht="20.25">
      <c r="A224" s="29" t="s">
        <v>69</v>
      </c>
      <c r="B224" s="16" t="s">
        <v>9</v>
      </c>
      <c r="C224" s="31">
        <f>+C226+C229+C230+C231+C232+C233+C239+C241+C227+C238</f>
        <v>342038.40388000006</v>
      </c>
      <c r="D224" s="31">
        <f>+D226+D229+D230+D231+D232+D233+D239+D241+D227+D238+D234</f>
        <v>491954.46299999999</v>
      </c>
      <c r="E224" s="31">
        <f>SUM(D224-C224)</f>
        <v>149916.05911999993</v>
      </c>
      <c r="F224" s="30">
        <f>SUM(D224/C224*100)</f>
        <v>143.83018322486271</v>
      </c>
      <c r="G224" s="31">
        <f>SUM(G226+G231+G232+G233+G236+G241)+G235+G230</f>
        <v>492560.48901999998</v>
      </c>
      <c r="H224" s="31">
        <f>SUM(H226+H231+H232+H233+H236+H241)+H235+H230</f>
        <v>2302.8360000000002</v>
      </c>
      <c r="I224" s="31">
        <f t="shared" ref="I224" si="56">SUM(H224-G224)</f>
        <v>-490257.65301999997</v>
      </c>
      <c r="J224" s="32">
        <f>SUM(H224/G224*100)</f>
        <v>0.46752349230887974</v>
      </c>
    </row>
    <row r="225" spans="1:10">
      <c r="A225" s="26" t="s">
        <v>70</v>
      </c>
      <c r="B225" s="34" t="s">
        <v>155</v>
      </c>
      <c r="C225" s="12">
        <f>C226+C229+C230</f>
        <v>46715.289980000009</v>
      </c>
      <c r="D225" s="12">
        <f>D226+D229+D230</f>
        <v>33906.445</v>
      </c>
      <c r="E225" s="12">
        <f>SUM(D225-C225)</f>
        <v>-12808.844980000009</v>
      </c>
      <c r="F225" s="13">
        <f>SUM(D225/C225*100)</f>
        <v>72.58104362515185</v>
      </c>
      <c r="G225" s="12">
        <f>G226+G227+G228+G229+G230</f>
        <v>73152.313930000004</v>
      </c>
      <c r="H225" s="12">
        <f>H226+H227+H228+H229+H230</f>
        <v>76.941999999999993</v>
      </c>
      <c r="I225" s="12">
        <f t="shared" ref="I225" si="57">SUM(H225-G225)</f>
        <v>-73075.371930000008</v>
      </c>
      <c r="J225" s="14">
        <f>SUM(H225/G225*100)</f>
        <v>0.10518054162118012</v>
      </c>
    </row>
    <row r="226" spans="1:10">
      <c r="A226" s="26" t="s">
        <v>138</v>
      </c>
      <c r="B226" s="34" t="s">
        <v>156</v>
      </c>
      <c r="C226" s="12">
        <v>21767.141380000001</v>
      </c>
      <c r="D226" s="88">
        <v>2120.527</v>
      </c>
      <c r="E226" s="12">
        <f>SUM(D226-C226)</f>
        <v>-19646.614379999999</v>
      </c>
      <c r="F226" s="13">
        <f>SUM(D226/C226*100)</f>
        <v>9.7418717643299466</v>
      </c>
      <c r="G226" s="12">
        <v>73146.682350000003</v>
      </c>
      <c r="H226" s="108">
        <v>76.941999999999993</v>
      </c>
      <c r="I226" s="12">
        <f t="shared" ref="I226" si="58">SUM(H226-G226)</f>
        <v>-73069.740350000007</v>
      </c>
      <c r="J226" s="14">
        <f>SUM(H226/G226*100)</f>
        <v>0.10518863949541793</v>
      </c>
    </row>
    <row r="227" spans="1:10">
      <c r="A227" s="26" t="s">
        <v>265</v>
      </c>
      <c r="B227" s="34" t="s">
        <v>266</v>
      </c>
      <c r="C227" s="12"/>
      <c r="D227" s="12"/>
      <c r="E227" s="12"/>
      <c r="F227" s="13"/>
      <c r="G227" s="12"/>
      <c r="H227" s="12"/>
      <c r="I227" s="12"/>
      <c r="J227" s="14"/>
    </row>
    <row r="228" spans="1:10">
      <c r="A228" s="26" t="s">
        <v>238</v>
      </c>
      <c r="B228" s="77" t="s">
        <v>239</v>
      </c>
      <c r="C228" s="12"/>
      <c r="D228" s="12"/>
      <c r="E228" s="12"/>
      <c r="F228" s="13"/>
      <c r="G228" s="12"/>
      <c r="H228" s="12"/>
      <c r="I228" s="12"/>
      <c r="J228" s="14"/>
    </row>
    <row r="229" spans="1:10" ht="37.5">
      <c r="A229" s="26" t="s">
        <v>139</v>
      </c>
      <c r="B229" s="78" t="s">
        <v>103</v>
      </c>
      <c r="C229" s="12">
        <v>24533.830010000001</v>
      </c>
      <c r="D229" s="88">
        <v>31785.918000000001</v>
      </c>
      <c r="E229" s="12">
        <f t="shared" ref="E229:E234" si="59">SUM(D229-C229)</f>
        <v>7252.08799</v>
      </c>
      <c r="F229" s="13">
        <f>SUM(D229/C229*100)</f>
        <v>129.55954283144558</v>
      </c>
      <c r="G229" s="12"/>
      <c r="H229" s="12"/>
      <c r="I229" s="12"/>
      <c r="J229" s="14"/>
    </row>
    <row r="230" spans="1:10">
      <c r="A230" s="79">
        <v>6016</v>
      </c>
      <c r="B230" s="78" t="s">
        <v>101</v>
      </c>
      <c r="C230" s="11">
        <v>414.31858999999997</v>
      </c>
      <c r="D230" s="11"/>
      <c r="E230" s="12">
        <f t="shared" si="59"/>
        <v>-414.31858999999997</v>
      </c>
      <c r="F230" s="13">
        <f>SUM(D230/C230*100)</f>
        <v>0</v>
      </c>
      <c r="G230" s="11">
        <f>5.63158</f>
        <v>5.6315799999999996</v>
      </c>
      <c r="H230" s="11"/>
      <c r="I230" s="12">
        <f>SUM(H230-G230)</f>
        <v>-5.6315799999999996</v>
      </c>
      <c r="J230" s="14">
        <f>SUM(H230/G230*100)</f>
        <v>0</v>
      </c>
    </row>
    <row r="231" spans="1:10" ht="42" customHeight="1">
      <c r="A231" s="79">
        <v>6020</v>
      </c>
      <c r="B231" s="78" t="s">
        <v>157</v>
      </c>
      <c r="C231" s="11">
        <v>88346.036210000006</v>
      </c>
      <c r="D231" s="88">
        <v>38409.250999999997</v>
      </c>
      <c r="E231" s="12">
        <f t="shared" si="59"/>
        <v>-49936.785210000009</v>
      </c>
      <c r="F231" s="13">
        <f>SUM(D231/C231*100)</f>
        <v>43.475918838849275</v>
      </c>
      <c r="G231" s="11">
        <v>561.21879999999999</v>
      </c>
      <c r="H231" s="11"/>
      <c r="I231" s="12">
        <f>SUM(H231-G231)</f>
        <v>-561.21879999999999</v>
      </c>
      <c r="J231" s="14">
        <f>SUM(H231/G231*100)</f>
        <v>0</v>
      </c>
    </row>
    <row r="232" spans="1:10" ht="24" customHeight="1">
      <c r="A232" s="79">
        <v>6030</v>
      </c>
      <c r="B232" s="27" t="s">
        <v>158</v>
      </c>
      <c r="C232" s="11">
        <f>139727.40332+15460.8773+8646.25831+17498.09352+23167.02955</f>
        <v>204499.66200000001</v>
      </c>
      <c r="D232" s="88">
        <v>181661.09599999999</v>
      </c>
      <c r="E232" s="12">
        <f t="shared" si="59"/>
        <v>-22838.566000000021</v>
      </c>
      <c r="F232" s="13">
        <f>SUM(D232/C232*100)</f>
        <v>88.831978607377835</v>
      </c>
      <c r="G232" s="11">
        <v>22723.842499999999</v>
      </c>
      <c r="H232" s="108">
        <v>1336.1790000000001</v>
      </c>
      <c r="I232" s="12">
        <f>SUM(H232-G232)</f>
        <v>-21387.663499999999</v>
      </c>
      <c r="J232" s="14">
        <f>SUM(H232/G232*100)</f>
        <v>5.8800750797317853</v>
      </c>
    </row>
    <row r="233" spans="1:10" ht="24" customHeight="1">
      <c r="A233" s="79">
        <v>6040</v>
      </c>
      <c r="B233" s="27" t="s">
        <v>102</v>
      </c>
      <c r="C233" s="11">
        <v>1053.6210000000001</v>
      </c>
      <c r="D233" s="11"/>
      <c r="E233" s="12">
        <f t="shared" si="59"/>
        <v>-1053.6210000000001</v>
      </c>
      <c r="F233" s="13">
        <f>SUM(D233/C233*100)</f>
        <v>0</v>
      </c>
      <c r="G233" s="11"/>
      <c r="H233" s="11"/>
      <c r="I233" s="12"/>
      <c r="J233" s="14"/>
    </row>
    <row r="234" spans="1:10" ht="66.599999999999994" customHeight="1">
      <c r="A234" s="79">
        <v>6071</v>
      </c>
      <c r="B234" s="102" t="s">
        <v>465</v>
      </c>
      <c r="C234" s="107"/>
      <c r="D234" s="108">
        <v>237401.46299999999</v>
      </c>
      <c r="E234" s="12">
        <f t="shared" si="59"/>
        <v>237401.46299999999</v>
      </c>
      <c r="F234" s="13"/>
      <c r="G234" s="11"/>
      <c r="H234" s="11"/>
      <c r="I234" s="12"/>
      <c r="J234" s="14"/>
    </row>
    <row r="235" spans="1:10" ht="37.5">
      <c r="A235" s="79">
        <v>6072</v>
      </c>
      <c r="B235" s="25" t="s">
        <v>240</v>
      </c>
      <c r="C235" s="11"/>
      <c r="D235" s="11"/>
      <c r="E235" s="12"/>
      <c r="F235" s="13"/>
      <c r="G235" s="11">
        <v>369346.22847999999</v>
      </c>
      <c r="H235" s="11"/>
      <c r="I235" s="12">
        <f>SUM(H235-G235)</f>
        <v>-369346.22847999999</v>
      </c>
      <c r="J235" s="14">
        <f>SUM(H235/G235*100)</f>
        <v>0</v>
      </c>
    </row>
    <row r="236" spans="1:10">
      <c r="A236" s="79">
        <v>6080</v>
      </c>
      <c r="B236" s="78" t="s">
        <v>161</v>
      </c>
      <c r="C236" s="11">
        <f>C237+C238+C239+C240</f>
        <v>1164.47829</v>
      </c>
      <c r="D236" s="11">
        <f>D237+D238+D239+D240</f>
        <v>576.20799999999997</v>
      </c>
      <c r="E236" s="48">
        <f>E237+E238+E239+E240</f>
        <v>-423.79200000000003</v>
      </c>
      <c r="F236" s="13">
        <f>SUM(D236/C236*100)</f>
        <v>49.482073212373926</v>
      </c>
      <c r="G236" s="11">
        <f>G237+G238</f>
        <v>22642.144800000002</v>
      </c>
      <c r="H236" s="11">
        <f>H237+H238</f>
        <v>0</v>
      </c>
      <c r="I236" s="12">
        <f>SUM(H236-G236)</f>
        <v>-22642.144800000002</v>
      </c>
      <c r="J236" s="14">
        <f>SUM(H236/G236*100)</f>
        <v>0</v>
      </c>
    </row>
    <row r="237" spans="1:10">
      <c r="A237" s="79">
        <v>6082</v>
      </c>
      <c r="B237" s="78" t="s">
        <v>233</v>
      </c>
      <c r="C237" s="11"/>
      <c r="D237" s="11"/>
      <c r="E237" s="12"/>
      <c r="F237" s="13"/>
      <c r="G237" s="11">
        <v>7208.8</v>
      </c>
      <c r="H237" s="11"/>
      <c r="I237" s="12">
        <f>SUM(H237-G237)</f>
        <v>-7208.8</v>
      </c>
      <c r="J237" s="14">
        <f>SUM(H237/G237*100)</f>
        <v>0</v>
      </c>
    </row>
    <row r="238" spans="1:10" ht="55.9" customHeight="1">
      <c r="A238" s="79">
        <v>6083</v>
      </c>
      <c r="B238" s="78" t="s">
        <v>234</v>
      </c>
      <c r="C238" s="11">
        <v>164.47828999999999</v>
      </c>
      <c r="D238" s="11"/>
      <c r="E238" s="12"/>
      <c r="F238" s="13"/>
      <c r="G238" s="11">
        <v>15433.344800000001</v>
      </c>
      <c r="H238" s="11"/>
      <c r="I238" s="12">
        <f>SUM(H238-G238)</f>
        <v>-15433.344800000001</v>
      </c>
      <c r="J238" s="14">
        <f>SUM(H238/G238*100)</f>
        <v>0</v>
      </c>
    </row>
    <row r="239" spans="1:10" ht="42" customHeight="1">
      <c r="A239" s="79">
        <v>6084</v>
      </c>
      <c r="B239" s="78" t="s">
        <v>159</v>
      </c>
      <c r="C239" s="11">
        <v>1000</v>
      </c>
      <c r="D239" s="88">
        <v>576.20799999999997</v>
      </c>
      <c r="E239" s="12">
        <f>SUM(D239-C239)</f>
        <v>-423.79200000000003</v>
      </c>
      <c r="F239" s="13">
        <f>SUM(D239/C239*100)</f>
        <v>57.620799999999996</v>
      </c>
      <c r="G239" s="11"/>
      <c r="H239" s="11"/>
      <c r="I239" s="12"/>
      <c r="J239" s="14"/>
    </row>
    <row r="240" spans="1:10">
      <c r="A240" s="79">
        <v>6086</v>
      </c>
      <c r="B240" s="78" t="s">
        <v>235</v>
      </c>
      <c r="C240" s="11"/>
      <c r="D240" s="11"/>
      <c r="E240" s="12"/>
      <c r="F240" s="49"/>
      <c r="G240" s="11"/>
      <c r="H240" s="11"/>
      <c r="I240" s="12"/>
      <c r="J240" s="14"/>
    </row>
    <row r="241" spans="1:10">
      <c r="A241" s="79">
        <v>6090</v>
      </c>
      <c r="B241" s="78" t="s">
        <v>160</v>
      </c>
      <c r="C241" s="11">
        <v>259.31639999999999</v>
      </c>
      <c r="D241" s="11"/>
      <c r="E241" s="12">
        <f>SUM(D241-C241)</f>
        <v>-259.31639999999999</v>
      </c>
      <c r="F241" s="13">
        <f>SUM(D241/C241*100)</f>
        <v>0</v>
      </c>
      <c r="G241" s="11">
        <v>4134.7405099999996</v>
      </c>
      <c r="H241" s="108">
        <v>889.71500000000003</v>
      </c>
      <c r="I241" s="12">
        <f>SUM(H241-G241)</f>
        <v>-3245.0255099999995</v>
      </c>
      <c r="J241" s="14">
        <f>SUM(H241/G241*100)</f>
        <v>21.518037174236117</v>
      </c>
    </row>
    <row r="242" spans="1:10" ht="20.25">
      <c r="A242" s="50" t="s">
        <v>478</v>
      </c>
      <c r="B242" s="44" t="s">
        <v>479</v>
      </c>
      <c r="C242" s="54">
        <f>SUM(C243+C245+C261+C267)</f>
        <v>291747.61099999998</v>
      </c>
      <c r="D242" s="54">
        <f>SUM(D243+D245+D261+D267)</f>
        <v>401467.83799999999</v>
      </c>
      <c r="E242" s="31">
        <f>SUM(D242-C242)</f>
        <v>109720.22700000001</v>
      </c>
      <c r="F242" s="30">
        <f>SUM(D242/C242*100)</f>
        <v>137.6079264621639</v>
      </c>
      <c r="G242" s="54">
        <f>SUM(G243+G245+G261+G267)</f>
        <v>331476.64898000006</v>
      </c>
      <c r="H242" s="54">
        <f>SUM(H243+H245+H261+H267)</f>
        <v>502370.47700000001</v>
      </c>
      <c r="I242" s="12">
        <f>SUM(H242-G242)</f>
        <v>170893.82801999996</v>
      </c>
      <c r="J242" s="13">
        <f>SUM(H242/G242*100)</f>
        <v>151.55531424185207</v>
      </c>
    </row>
    <row r="243" spans="1:10" ht="20.25">
      <c r="A243" s="50" t="s">
        <v>472</v>
      </c>
      <c r="B243" s="44" t="s">
        <v>471</v>
      </c>
      <c r="C243" s="133"/>
      <c r="D243" s="54">
        <v>198</v>
      </c>
      <c r="E243" s="31">
        <f>SUM(D243-C243)</f>
        <v>198</v>
      </c>
      <c r="F243" s="30"/>
      <c r="G243" s="54"/>
      <c r="H243" s="54"/>
      <c r="I243" s="31"/>
      <c r="J243" s="32"/>
    </row>
    <row r="244" spans="1:10" ht="20.25">
      <c r="A244" s="87" t="s">
        <v>473</v>
      </c>
      <c r="B244" s="47" t="s">
        <v>474</v>
      </c>
      <c r="C244" s="107"/>
      <c r="D244" s="11">
        <v>198</v>
      </c>
      <c r="E244" s="12">
        <f>SUM(D244-C244)</f>
        <v>198</v>
      </c>
      <c r="F244" s="13"/>
      <c r="G244" s="54"/>
      <c r="H244" s="54"/>
      <c r="I244" s="31"/>
      <c r="J244" s="32"/>
    </row>
    <row r="245" spans="1:10" ht="25.5" customHeight="1">
      <c r="A245" s="43" t="s">
        <v>98</v>
      </c>
      <c r="B245" s="44" t="s">
        <v>162</v>
      </c>
      <c r="C245" s="31">
        <f>C246+C247+C253+C254+C255+C257+C256+C259+C258</f>
        <v>227.381</v>
      </c>
      <c r="D245" s="31">
        <f>D246+D247+D253+D254+D255+D257+D256+D259+D258</f>
        <v>0</v>
      </c>
      <c r="E245" s="31">
        <f>SUM(D245-C245)</f>
        <v>-227.381</v>
      </c>
      <c r="F245" s="32">
        <f>SUM(D245/C245*100)</f>
        <v>0</v>
      </c>
      <c r="G245" s="31">
        <f>G246+G247+G253+G254+G255+G257+G256+G259+G258</f>
        <v>170496.83298000001</v>
      </c>
      <c r="H245" s="31">
        <f>H246+H247+H253+H254+H255+H257+H256+H259+H258</f>
        <v>3.4830000000000001</v>
      </c>
      <c r="I245" s="31">
        <f t="shared" ref="I245" si="60">SUM(H245-G245)</f>
        <v>-170493.34998</v>
      </c>
      <c r="J245" s="32">
        <f t="shared" ref="J245:J261" si="61">SUM(H245/G245*100)</f>
        <v>2.0428531950552834E-3</v>
      </c>
    </row>
    <row r="246" spans="1:10" ht="21" customHeight="1">
      <c r="A246" s="77">
        <v>7310</v>
      </c>
      <c r="B246" s="77" t="s">
        <v>163</v>
      </c>
      <c r="C246" s="11"/>
      <c r="D246" s="11"/>
      <c r="E246" s="12"/>
      <c r="F246" s="49"/>
      <c r="G246" s="11">
        <v>51984.099349999997</v>
      </c>
      <c r="H246" s="108">
        <v>3.4830000000000001</v>
      </c>
      <c r="I246" s="12">
        <f t="shared" ref="I246" si="62">SUM(H246-G246)</f>
        <v>-51980.616349999997</v>
      </c>
      <c r="J246" s="14">
        <f t="shared" ref="J246:J250" si="63">SUM(H246/G246*100)</f>
        <v>6.7001256991095683E-3</v>
      </c>
    </row>
    <row r="247" spans="1:10" ht="21" customHeight="1">
      <c r="A247" s="77">
        <v>7320</v>
      </c>
      <c r="B247" s="34" t="s">
        <v>168</v>
      </c>
      <c r="C247" s="12"/>
      <c r="D247" s="12"/>
      <c r="E247" s="12"/>
      <c r="F247" s="49"/>
      <c r="G247" s="11">
        <f>G248+G249+G250+G251+G252</f>
        <v>57454.752380000005</v>
      </c>
      <c r="H247" s="11">
        <f>H248+H249+H250+H251+H252</f>
        <v>0</v>
      </c>
      <c r="I247" s="12">
        <f t="shared" ref="I247:I250" si="64">SUM(H247-G247)</f>
        <v>-57454.752380000005</v>
      </c>
      <c r="J247" s="14">
        <f t="shared" si="63"/>
        <v>0</v>
      </c>
    </row>
    <row r="248" spans="1:10" ht="21" customHeight="1">
      <c r="A248" s="77">
        <v>7321</v>
      </c>
      <c r="B248" s="77" t="s">
        <v>164</v>
      </c>
      <c r="C248" s="37"/>
      <c r="D248" s="11"/>
      <c r="E248" s="12"/>
      <c r="F248" s="49"/>
      <c r="G248" s="11">
        <f>49879.44346-24595.33</f>
        <v>25284.11346</v>
      </c>
      <c r="H248" s="11"/>
      <c r="I248" s="12">
        <f t="shared" si="64"/>
        <v>-25284.11346</v>
      </c>
      <c r="J248" s="14">
        <f t="shared" si="63"/>
        <v>0</v>
      </c>
    </row>
    <row r="249" spans="1:10" ht="21" customHeight="1">
      <c r="A249" s="77">
        <v>7322</v>
      </c>
      <c r="B249" s="47" t="s">
        <v>165</v>
      </c>
      <c r="C249" s="37"/>
      <c r="D249" s="11"/>
      <c r="E249" s="12"/>
      <c r="F249" s="49"/>
      <c r="G249" s="11">
        <f>21507.74393-13254.144</f>
        <v>8253.5999300000003</v>
      </c>
      <c r="H249" s="11"/>
      <c r="I249" s="12">
        <f t="shared" si="64"/>
        <v>-8253.5999300000003</v>
      </c>
      <c r="J249" s="14">
        <f t="shared" si="63"/>
        <v>0</v>
      </c>
    </row>
    <row r="250" spans="1:10" ht="21" customHeight="1">
      <c r="A250" s="77">
        <v>7323</v>
      </c>
      <c r="B250" s="47" t="s">
        <v>228</v>
      </c>
      <c r="C250" s="37"/>
      <c r="D250" s="11"/>
      <c r="E250" s="12"/>
      <c r="F250" s="49"/>
      <c r="G250" s="11">
        <f>2536.35798-2536.35798</f>
        <v>0</v>
      </c>
      <c r="H250" s="11"/>
      <c r="I250" s="12">
        <f t="shared" si="64"/>
        <v>0</v>
      </c>
      <c r="J250" s="14" t="e">
        <f t="shared" si="63"/>
        <v>#DIV/0!</v>
      </c>
    </row>
    <row r="251" spans="1:10" ht="21" customHeight="1">
      <c r="A251" s="77">
        <v>7324</v>
      </c>
      <c r="B251" s="47" t="s">
        <v>166</v>
      </c>
      <c r="C251" s="37"/>
      <c r="D251" s="11"/>
      <c r="E251" s="12"/>
      <c r="F251" s="49"/>
      <c r="G251" s="11">
        <v>23108.675090000001</v>
      </c>
      <c r="H251" s="11"/>
      <c r="I251" s="12">
        <f t="shared" ref="I251:I255" si="65">SUM(H251-G251)</f>
        <v>-23108.675090000001</v>
      </c>
      <c r="J251" s="14">
        <f t="shared" ref="J251:J257" si="66">SUM(H251/G251*100)</f>
        <v>0</v>
      </c>
    </row>
    <row r="252" spans="1:10" ht="21" customHeight="1">
      <c r="A252" s="77">
        <v>7325</v>
      </c>
      <c r="B252" s="47" t="s">
        <v>167</v>
      </c>
      <c r="C252" s="37"/>
      <c r="D252" s="11"/>
      <c r="E252" s="12"/>
      <c r="F252" s="49"/>
      <c r="G252" s="11">
        <f>1388.6399-580.276</f>
        <v>808.36389999999994</v>
      </c>
      <c r="H252" s="11"/>
      <c r="I252" s="12">
        <f t="shared" si="65"/>
        <v>-808.36389999999994</v>
      </c>
      <c r="J252" s="14">
        <f t="shared" si="66"/>
        <v>0</v>
      </c>
    </row>
    <row r="253" spans="1:10" ht="21" customHeight="1">
      <c r="A253" s="77">
        <v>7330</v>
      </c>
      <c r="B253" s="47" t="s">
        <v>250</v>
      </c>
      <c r="C253" s="11"/>
      <c r="D253" s="11"/>
      <c r="E253" s="12"/>
      <c r="F253" s="49"/>
      <c r="G253" s="11">
        <v>723.096</v>
      </c>
      <c r="H253" s="11"/>
      <c r="I253" s="12">
        <f t="shared" si="65"/>
        <v>-723.096</v>
      </c>
      <c r="J253" s="14">
        <f t="shared" si="66"/>
        <v>0</v>
      </c>
    </row>
    <row r="254" spans="1:10" ht="21" customHeight="1">
      <c r="A254" s="77">
        <v>7340</v>
      </c>
      <c r="B254" s="47" t="s">
        <v>251</v>
      </c>
      <c r="C254" s="11"/>
      <c r="D254" s="11"/>
      <c r="E254" s="12"/>
      <c r="F254" s="49"/>
      <c r="G254" s="11">
        <v>6251.4446900000003</v>
      </c>
      <c r="H254" s="11"/>
      <c r="I254" s="12">
        <f t="shared" si="65"/>
        <v>-6251.4446900000003</v>
      </c>
      <c r="J254" s="14">
        <f t="shared" si="66"/>
        <v>0</v>
      </c>
    </row>
    <row r="255" spans="1:10" ht="20.25" customHeight="1">
      <c r="A255" s="17" t="s">
        <v>169</v>
      </c>
      <c r="B255" s="20" t="s">
        <v>170</v>
      </c>
      <c r="C255" s="11"/>
      <c r="D255" s="11"/>
      <c r="E255" s="12"/>
      <c r="F255" s="49"/>
      <c r="G255" s="11">
        <v>371.46305000000001</v>
      </c>
      <c r="H255" s="11"/>
      <c r="I255" s="12">
        <f t="shared" si="65"/>
        <v>-371.46305000000001</v>
      </c>
      <c r="J255" s="14">
        <f t="shared" si="66"/>
        <v>0</v>
      </c>
    </row>
    <row r="256" spans="1:10" ht="20.25" customHeight="1">
      <c r="A256" s="17" t="s">
        <v>261</v>
      </c>
      <c r="B256" s="20" t="s">
        <v>262</v>
      </c>
      <c r="C256" s="11"/>
      <c r="D256" s="11"/>
      <c r="E256" s="12"/>
      <c r="F256" s="49"/>
      <c r="G256" s="11">
        <v>284.69009</v>
      </c>
      <c r="H256" s="11"/>
      <c r="I256" s="12">
        <f t="shared" ref="I256:I257" si="67">SUM(H256-G256)</f>
        <v>-284.69009</v>
      </c>
      <c r="J256" s="14">
        <f t="shared" si="66"/>
        <v>0</v>
      </c>
    </row>
    <row r="257" spans="1:10" ht="42" customHeight="1">
      <c r="A257" s="17" t="s">
        <v>237</v>
      </c>
      <c r="B257" s="20" t="s">
        <v>236</v>
      </c>
      <c r="C257" s="57"/>
      <c r="D257" s="57"/>
      <c r="E257" s="12"/>
      <c r="F257" s="49"/>
      <c r="G257" s="11">
        <v>27362.529210000001</v>
      </c>
      <c r="H257" s="11"/>
      <c r="I257" s="12">
        <f t="shared" si="67"/>
        <v>-27362.529210000001</v>
      </c>
      <c r="J257" s="14">
        <f t="shared" si="66"/>
        <v>0</v>
      </c>
    </row>
    <row r="258" spans="1:10" ht="42" customHeight="1">
      <c r="A258" s="17" t="s">
        <v>263</v>
      </c>
      <c r="B258" s="20" t="s">
        <v>264</v>
      </c>
      <c r="C258" s="57"/>
      <c r="D258" s="57"/>
      <c r="E258" s="12"/>
      <c r="F258" s="49"/>
      <c r="G258" s="11">
        <v>0</v>
      </c>
      <c r="H258" s="11">
        <v>0</v>
      </c>
      <c r="I258" s="12"/>
      <c r="J258" s="14"/>
    </row>
    <row r="259" spans="1:10" ht="18" customHeight="1">
      <c r="A259" s="17" t="s">
        <v>182</v>
      </c>
      <c r="B259" s="20" t="s">
        <v>183</v>
      </c>
      <c r="C259" s="108">
        <v>227.381</v>
      </c>
      <c r="D259" s="108"/>
      <c r="E259" s="12">
        <f>SUM(D259-C259)</f>
        <v>-227.381</v>
      </c>
      <c r="F259" s="14">
        <f>SUM(D259/C259*100)</f>
        <v>0</v>
      </c>
      <c r="G259" s="11">
        <v>26064.75821</v>
      </c>
      <c r="H259" s="11"/>
      <c r="I259" s="12">
        <f t="shared" ref="I259" si="68">SUM(H259-G259)</f>
        <v>-26064.75821</v>
      </c>
      <c r="J259" s="14">
        <f>SUM(H259/G259*100)</f>
        <v>0</v>
      </c>
    </row>
    <row r="260" spans="1:10" ht="18" customHeight="1">
      <c r="A260" s="17" t="s">
        <v>447</v>
      </c>
      <c r="B260" s="20" t="s">
        <v>448</v>
      </c>
      <c r="C260" s="108"/>
      <c r="D260" s="108"/>
      <c r="E260" s="12"/>
      <c r="F260" s="49"/>
      <c r="G260" s="108"/>
      <c r="H260" s="108"/>
      <c r="I260" s="12"/>
      <c r="J260" s="14"/>
    </row>
    <row r="261" spans="1:10" ht="20.25">
      <c r="A261" s="80" t="s">
        <v>105</v>
      </c>
      <c r="B261" s="44" t="s">
        <v>171</v>
      </c>
      <c r="C261" s="31">
        <f>SUM(C262+C264)</f>
        <v>276757.21999999997</v>
      </c>
      <c r="D261" s="31">
        <f>SUM(D262+D264)</f>
        <v>396218.886</v>
      </c>
      <c r="E261" s="31">
        <f>SUM(D261-C261)</f>
        <v>119461.66600000003</v>
      </c>
      <c r="F261" s="30">
        <f>SUM(D261/C261*100)</f>
        <v>143.16478753472089</v>
      </c>
      <c r="G261" s="31">
        <f>G264</f>
        <v>43201.167000000001</v>
      </c>
      <c r="H261" s="31">
        <f>H264</f>
        <v>0</v>
      </c>
      <c r="I261" s="31">
        <f t="shared" ref="I261" si="69">SUM(H261-G261)</f>
        <v>-43201.167000000001</v>
      </c>
      <c r="J261" s="32">
        <f t="shared" si="61"/>
        <v>0</v>
      </c>
    </row>
    <row r="262" spans="1:10">
      <c r="A262" s="79">
        <v>7420</v>
      </c>
      <c r="B262" s="47" t="s">
        <v>175</v>
      </c>
      <c r="C262" s="12">
        <f>C263</f>
        <v>205536.33</v>
      </c>
      <c r="D262" s="12">
        <f>D263</f>
        <v>245354.91699999999</v>
      </c>
      <c r="E262" s="12">
        <f>SUM(D262-C262)</f>
        <v>39818.587</v>
      </c>
      <c r="F262" s="13">
        <f>SUM(D262/C262*100)</f>
        <v>119.37301643947814</v>
      </c>
      <c r="G262" s="12"/>
      <c r="H262" s="12"/>
      <c r="I262" s="12"/>
      <c r="J262" s="14"/>
    </row>
    <row r="263" spans="1:10">
      <c r="A263" s="81" t="s">
        <v>174</v>
      </c>
      <c r="B263" s="47" t="s">
        <v>104</v>
      </c>
      <c r="C263" s="12">
        <v>205536.33</v>
      </c>
      <c r="D263" s="88">
        <v>245354.91699999999</v>
      </c>
      <c r="E263" s="12">
        <f>SUM(D263-C263)</f>
        <v>39818.587</v>
      </c>
      <c r="F263" s="13">
        <f>SUM(D263/C263*100)</f>
        <v>119.37301643947814</v>
      </c>
      <c r="G263" s="12"/>
      <c r="H263" s="12"/>
      <c r="I263" s="12"/>
      <c r="J263" s="14"/>
    </row>
    <row r="264" spans="1:10">
      <c r="A264" s="77">
        <v>7460</v>
      </c>
      <c r="B264" s="47" t="s">
        <v>172</v>
      </c>
      <c r="C264" s="108">
        <f>C265</f>
        <v>71220.89</v>
      </c>
      <c r="D264" s="108">
        <f>D265</f>
        <v>150863.96900000001</v>
      </c>
      <c r="E264" s="12">
        <f>SUM(D264-C264)</f>
        <v>79643.079000000012</v>
      </c>
      <c r="F264" s="13" t="s">
        <v>438</v>
      </c>
      <c r="G264" s="108">
        <f>G265+G266</f>
        <v>43201.167000000001</v>
      </c>
      <c r="H264" s="108">
        <f>H265+H266</f>
        <v>0</v>
      </c>
      <c r="I264" s="12">
        <f t="shared" ref="I264:I266" si="70">SUM(H264-G264)</f>
        <v>-43201.167000000001</v>
      </c>
      <c r="J264" s="14">
        <f t="shared" ref="J264:J265" si="71">SUM(H264/G264*100)</f>
        <v>0</v>
      </c>
    </row>
    <row r="265" spans="1:10" ht="37.5">
      <c r="A265" s="77">
        <v>7461</v>
      </c>
      <c r="B265" s="47" t="s">
        <v>173</v>
      </c>
      <c r="C265" s="11">
        <v>71220.89</v>
      </c>
      <c r="D265" s="88">
        <v>150863.96900000001</v>
      </c>
      <c r="E265" s="12">
        <f>SUM(D265-C265)</f>
        <v>79643.079000000012</v>
      </c>
      <c r="F265" s="13" t="s">
        <v>438</v>
      </c>
      <c r="G265" s="11">
        <v>42957.764999999999</v>
      </c>
      <c r="H265" s="11"/>
      <c r="I265" s="12">
        <f t="shared" si="70"/>
        <v>-42957.764999999999</v>
      </c>
      <c r="J265" s="14">
        <f t="shared" si="71"/>
        <v>0</v>
      </c>
    </row>
    <row r="266" spans="1:10" ht="37.5">
      <c r="A266" s="17" t="s">
        <v>254</v>
      </c>
      <c r="B266" s="89" t="s">
        <v>255</v>
      </c>
      <c r="C266" s="31"/>
      <c r="D266" s="31"/>
      <c r="E266" s="12"/>
      <c r="F266" s="61"/>
      <c r="G266" s="12">
        <v>243.40199999999999</v>
      </c>
      <c r="H266" s="12"/>
      <c r="I266" s="12">
        <f t="shared" si="70"/>
        <v>-243.40199999999999</v>
      </c>
      <c r="J266" s="14">
        <f>SUM(H266/G266*100)</f>
        <v>0</v>
      </c>
    </row>
    <row r="267" spans="1:10" ht="20.25">
      <c r="A267" s="82" t="s">
        <v>112</v>
      </c>
      <c r="B267" s="46" t="s">
        <v>176</v>
      </c>
      <c r="C267" s="54">
        <f>SUM(C268:C274)</f>
        <v>14763.01</v>
      </c>
      <c r="D267" s="54">
        <f>SUM(D268:D274)</f>
        <v>5050.9519999999993</v>
      </c>
      <c r="E267" s="31">
        <f>SUM(D267-C267)</f>
        <v>-9712.0580000000009</v>
      </c>
      <c r="F267" s="30">
        <f>SUM(D267/C267*100)</f>
        <v>34.213564848902763</v>
      </c>
      <c r="G267" s="54">
        <f>SUM(G268:G274)</f>
        <v>117778.649</v>
      </c>
      <c r="H267" s="54">
        <f>SUM(H268:H274)</f>
        <v>502366.99400000001</v>
      </c>
      <c r="I267" s="31">
        <f t="shared" ref="I267" si="72">SUM(H267-G267)</f>
        <v>384588.34499999997</v>
      </c>
      <c r="J267" s="32" t="s">
        <v>499</v>
      </c>
    </row>
    <row r="268" spans="1:10">
      <c r="A268" s="83" t="s">
        <v>229</v>
      </c>
      <c r="B268" s="25" t="s">
        <v>111</v>
      </c>
      <c r="C268" s="11">
        <v>352.92399999999998</v>
      </c>
      <c r="D268" s="88">
        <v>42.3</v>
      </c>
      <c r="E268" s="12">
        <f>SUM(D268-C268)</f>
        <v>-310.62399999999997</v>
      </c>
      <c r="F268" s="13">
        <f>SUM(D268/C268*100)</f>
        <v>11.985583298387189</v>
      </c>
      <c r="G268" s="11"/>
      <c r="H268" s="11"/>
      <c r="I268" s="12"/>
      <c r="J268" s="14"/>
    </row>
    <row r="269" spans="1:10">
      <c r="A269" s="83" t="s">
        <v>270</v>
      </c>
      <c r="B269" s="116" t="s">
        <v>271</v>
      </c>
      <c r="C269" s="11">
        <v>645.87699999999995</v>
      </c>
      <c r="D269" s="88">
        <v>119.81</v>
      </c>
      <c r="E269" s="12">
        <f>SUM(D269-C269)</f>
        <v>-526.06700000000001</v>
      </c>
      <c r="F269" s="13">
        <f>SUM(D269/C269*100)</f>
        <v>18.549971589017726</v>
      </c>
      <c r="G269" s="11"/>
      <c r="H269" s="11"/>
      <c r="I269" s="12"/>
      <c r="J269" s="14"/>
    </row>
    <row r="270" spans="1:10">
      <c r="A270" s="83" t="s">
        <v>177</v>
      </c>
      <c r="B270" s="25" t="s">
        <v>109</v>
      </c>
      <c r="C270" s="11">
        <v>3426.7719999999999</v>
      </c>
      <c r="D270" s="88">
        <v>130.38800000000001</v>
      </c>
      <c r="E270" s="12">
        <f>SUM(D270-C270)</f>
        <v>-3296.384</v>
      </c>
      <c r="F270" s="13">
        <f>SUM(D270/C270*100)</f>
        <v>3.8049803138347111</v>
      </c>
      <c r="G270" s="11">
        <v>24137.288</v>
      </c>
      <c r="H270" s="108">
        <v>110.652</v>
      </c>
      <c r="I270" s="12">
        <f t="shared" ref="I270" si="73">SUM(H270-G270)</f>
        <v>-24026.636000000002</v>
      </c>
      <c r="J270" s="14">
        <f>SUM(H270/G270*100)</f>
        <v>0.45842764108378709</v>
      </c>
    </row>
    <row r="271" spans="1:10">
      <c r="A271" s="83" t="s">
        <v>241</v>
      </c>
      <c r="B271" s="25" t="s">
        <v>242</v>
      </c>
      <c r="C271" s="86"/>
      <c r="D271" s="86"/>
      <c r="E271" s="12"/>
      <c r="F271" s="49"/>
      <c r="G271" s="11"/>
      <c r="H271" s="11"/>
      <c r="I271" s="12"/>
      <c r="J271" s="14"/>
    </row>
    <row r="272" spans="1:10">
      <c r="A272" s="17" t="s">
        <v>178</v>
      </c>
      <c r="B272" s="25" t="s">
        <v>106</v>
      </c>
      <c r="C272" s="11"/>
      <c r="D272" s="11"/>
      <c r="E272" s="12"/>
      <c r="F272" s="49"/>
      <c r="G272" s="11">
        <v>86833.417000000001</v>
      </c>
      <c r="H272" s="11">
        <v>499252.74599999998</v>
      </c>
      <c r="I272" s="12">
        <f t="shared" ref="I272" si="74">SUM(H272-G272)</f>
        <v>412419.32899999997</v>
      </c>
      <c r="J272" s="14" t="s">
        <v>486</v>
      </c>
    </row>
    <row r="273" spans="1:10">
      <c r="A273" s="17" t="s">
        <v>219</v>
      </c>
      <c r="B273" s="25" t="s">
        <v>226</v>
      </c>
      <c r="C273" s="11">
        <v>1770.5</v>
      </c>
      <c r="D273" s="88">
        <v>499.90600000000001</v>
      </c>
      <c r="E273" s="12">
        <f>SUM(D273-C273)</f>
        <v>-1270.5940000000001</v>
      </c>
      <c r="F273" s="13">
        <f>SUM(D273/C273*100)</f>
        <v>28.235300762496468</v>
      </c>
      <c r="G273" s="11"/>
      <c r="H273" s="11"/>
      <c r="I273" s="12"/>
      <c r="J273" s="14"/>
    </row>
    <row r="274" spans="1:10">
      <c r="A274" s="17" t="s">
        <v>180</v>
      </c>
      <c r="B274" s="84" t="s">
        <v>179</v>
      </c>
      <c r="C274" s="11">
        <f>C275+C276</f>
        <v>8566.9369999999999</v>
      </c>
      <c r="D274" s="11">
        <f>D275+D276</f>
        <v>4258.5479999999998</v>
      </c>
      <c r="E274" s="12">
        <f>SUM(D274-C274)</f>
        <v>-4308.3890000000001</v>
      </c>
      <c r="F274" s="13">
        <f>SUM(D274/C274*100)</f>
        <v>49.709108401287409</v>
      </c>
      <c r="G274" s="11">
        <f>G275+G276</f>
        <v>6807.9440000000004</v>
      </c>
      <c r="H274" s="11">
        <f>H275+H276</f>
        <v>3003.596</v>
      </c>
      <c r="I274" s="12">
        <f t="shared" ref="I274:I276" si="75">SUM(H274-G274)</f>
        <v>-3804.3480000000004</v>
      </c>
      <c r="J274" s="14">
        <f>SUM(H274/G274*100)</f>
        <v>44.118988052780686</v>
      </c>
    </row>
    <row r="275" spans="1:10" ht="75">
      <c r="A275" s="17" t="s">
        <v>267</v>
      </c>
      <c r="B275" s="47" t="s">
        <v>268</v>
      </c>
      <c r="C275" s="11"/>
      <c r="D275" s="11"/>
      <c r="E275" s="11"/>
      <c r="F275" s="13"/>
      <c r="G275" s="11">
        <f>2018.969+307.425</f>
        <v>2326.3940000000002</v>
      </c>
      <c r="H275" s="108">
        <v>3003.596</v>
      </c>
      <c r="I275" s="12">
        <f t="shared" si="75"/>
        <v>677.20199999999977</v>
      </c>
      <c r="J275" s="14">
        <f>SUM(H275/G275*100)</f>
        <v>129.10951455342473</v>
      </c>
    </row>
    <row r="276" spans="1:10">
      <c r="A276" s="17" t="s">
        <v>181</v>
      </c>
      <c r="B276" s="47" t="s">
        <v>110</v>
      </c>
      <c r="C276" s="11">
        <v>8566.9369999999999</v>
      </c>
      <c r="D276" s="88">
        <v>4258.5479999999998</v>
      </c>
      <c r="E276" s="12">
        <f>SUM(D276-C276)</f>
        <v>-4308.3890000000001</v>
      </c>
      <c r="F276" s="13">
        <f>SUM(D276/C276*100)</f>
        <v>49.709108401287409</v>
      </c>
      <c r="G276" s="11">
        <v>4481.55</v>
      </c>
      <c r="H276" s="11"/>
      <c r="I276" s="12">
        <f t="shared" si="75"/>
        <v>-4481.55</v>
      </c>
      <c r="J276" s="14">
        <f>SUM(H276/G276*100)</f>
        <v>0</v>
      </c>
    </row>
    <row r="277" spans="1:10" ht="21.75" customHeight="1">
      <c r="A277" s="50" t="s">
        <v>99</v>
      </c>
      <c r="B277" s="44" t="s">
        <v>197</v>
      </c>
      <c r="C277" s="54">
        <f>SUM(C278)+C281+C287</f>
        <v>15070.16646</v>
      </c>
      <c r="D277" s="54">
        <f>SUM(D278)+D281+D287+D288</f>
        <v>108244.943</v>
      </c>
      <c r="E277" s="31">
        <f>SUM(D277-C277)</f>
        <v>93174.776539999992</v>
      </c>
      <c r="F277" s="30" t="s">
        <v>501</v>
      </c>
      <c r="G277" s="54">
        <f>SUM(G278)+G281+G285+G288</f>
        <v>10277.12169</v>
      </c>
      <c r="H277" s="54">
        <f>SUM(H278)+H281+H285+H288</f>
        <v>53410.374000000003</v>
      </c>
      <c r="I277" s="31">
        <f t="shared" ref="I277:I279" si="76">SUM(H277-G277)</f>
        <v>43133.252310000003</v>
      </c>
      <c r="J277" s="32" t="s">
        <v>500</v>
      </c>
    </row>
    <row r="278" spans="1:10" ht="50.25" customHeight="1">
      <c r="A278" s="45" t="s">
        <v>184</v>
      </c>
      <c r="B278" s="46" t="s">
        <v>185</v>
      </c>
      <c r="C278" s="54">
        <f>SUM(C279:C280)</f>
        <v>11785.40789</v>
      </c>
      <c r="D278" s="54">
        <f>SUM(D279:D280)</f>
        <v>42543.951999999997</v>
      </c>
      <c r="E278" s="31">
        <f>SUM(D278-C278)</f>
        <v>30758.544109999995</v>
      </c>
      <c r="F278" s="30" t="s">
        <v>490</v>
      </c>
      <c r="G278" s="54">
        <f>SUM(G279:G280)</f>
        <v>635.16736000000003</v>
      </c>
      <c r="H278" s="54">
        <f>SUM(H279:H280)</f>
        <v>48369.529000000002</v>
      </c>
      <c r="I278" s="31">
        <f t="shared" si="76"/>
        <v>47734.361640000003</v>
      </c>
      <c r="J278" s="32" t="s">
        <v>487</v>
      </c>
    </row>
    <row r="279" spans="1:10">
      <c r="A279" s="17" t="s">
        <v>186</v>
      </c>
      <c r="B279" s="47" t="s">
        <v>187</v>
      </c>
      <c r="C279" s="11">
        <f>11874.68625-91.10536</f>
        <v>11783.580890000001</v>
      </c>
      <c r="D279" s="88">
        <v>42543.777999999998</v>
      </c>
      <c r="E279" s="12">
        <f>SUM(D279-C279)</f>
        <v>30760.197109999997</v>
      </c>
      <c r="F279" s="13" t="s">
        <v>490</v>
      </c>
      <c r="G279" s="11">
        <f>544.062+91.10536</f>
        <v>635.16736000000003</v>
      </c>
      <c r="H279" s="11">
        <v>48369.529000000002</v>
      </c>
      <c r="I279" s="12">
        <f t="shared" si="76"/>
        <v>47734.361640000003</v>
      </c>
      <c r="J279" s="14" t="s">
        <v>487</v>
      </c>
    </row>
    <row r="280" spans="1:10">
      <c r="A280" s="17" t="s">
        <v>100</v>
      </c>
      <c r="B280" s="47" t="s">
        <v>188</v>
      </c>
      <c r="C280" s="11">
        <v>1.827</v>
      </c>
      <c r="D280" s="88">
        <v>0.17399999999999999</v>
      </c>
      <c r="E280" s="12">
        <f t="shared" ref="E280" si="77">D280-C280</f>
        <v>-1.653</v>
      </c>
      <c r="F280" s="13"/>
      <c r="G280" s="11"/>
      <c r="H280" s="11"/>
      <c r="I280" s="12"/>
      <c r="J280" s="14"/>
    </row>
    <row r="281" spans="1:10">
      <c r="A281" s="52" t="s">
        <v>193</v>
      </c>
      <c r="B281" s="53" t="s">
        <v>198</v>
      </c>
      <c r="C281" s="54">
        <f>SUM(C282:C284)</f>
        <v>3044.5075699999998</v>
      </c>
      <c r="D281" s="54">
        <f>SUM(D282:D284)</f>
        <v>40492.879000000001</v>
      </c>
      <c r="E281" s="31">
        <f>SUM(D281-C281)</f>
        <v>37448.371429999999</v>
      </c>
      <c r="F281" s="30" t="s">
        <v>502</v>
      </c>
      <c r="G281" s="54"/>
      <c r="H281" s="54">
        <f>SUM(H282:H284)</f>
        <v>1602.896</v>
      </c>
      <c r="I281" s="31">
        <f t="shared" ref="I281" si="78">SUM(H281-G281)</f>
        <v>1602.896</v>
      </c>
      <c r="J281" s="32"/>
    </row>
    <row r="282" spans="1:10">
      <c r="A282" s="17" t="s">
        <v>194</v>
      </c>
      <c r="B282" s="47" t="s">
        <v>212</v>
      </c>
      <c r="C282" s="55">
        <v>744.48217999999997</v>
      </c>
      <c r="D282" s="88">
        <v>273.5</v>
      </c>
      <c r="E282" s="12">
        <f>SUM(D282-C282)</f>
        <v>-470.98217999999997</v>
      </c>
      <c r="F282" s="13">
        <f>SUM(D282/C282*100)</f>
        <v>36.73694379091787</v>
      </c>
      <c r="G282" s="11"/>
      <c r="H282" s="11"/>
      <c r="I282" s="12"/>
      <c r="J282" s="14"/>
    </row>
    <row r="283" spans="1:10">
      <c r="A283" s="17" t="s">
        <v>195</v>
      </c>
      <c r="B283" s="47" t="s">
        <v>199</v>
      </c>
      <c r="C283" s="55">
        <v>2300.0253899999998</v>
      </c>
      <c r="D283" s="109">
        <v>516.48099999999999</v>
      </c>
      <c r="E283" s="12">
        <f>SUM(D283-C283)</f>
        <v>-1783.5443899999998</v>
      </c>
      <c r="F283" s="13">
        <f>SUM(D283/C283*100)</f>
        <v>22.455447763557082</v>
      </c>
      <c r="G283" s="11"/>
      <c r="H283" s="11"/>
      <c r="I283" s="12"/>
      <c r="J283" s="14"/>
    </row>
    <row r="284" spans="1:10" ht="16.5" customHeight="1">
      <c r="A284" s="17" t="s">
        <v>466</v>
      </c>
      <c r="B284" s="110" t="s">
        <v>475</v>
      </c>
      <c r="C284" s="110"/>
      <c r="D284" s="109">
        <v>39702.898000000001</v>
      </c>
      <c r="E284" s="12">
        <f>SUM(D284-C284)</f>
        <v>39702.898000000001</v>
      </c>
      <c r="F284" s="13"/>
      <c r="G284" s="11"/>
      <c r="H284" s="108">
        <v>1602.896</v>
      </c>
      <c r="I284" s="12">
        <f t="shared" ref="I284" si="79">SUM(H284-G284)</f>
        <v>1602.896</v>
      </c>
      <c r="J284" s="14"/>
    </row>
    <row r="285" spans="1:10">
      <c r="A285" s="52" t="s">
        <v>220</v>
      </c>
      <c r="B285" s="53" t="s">
        <v>224</v>
      </c>
      <c r="C285" s="54"/>
      <c r="D285" s="54"/>
      <c r="E285" s="12"/>
      <c r="F285" s="30"/>
      <c r="G285" s="31">
        <f>G286</f>
        <v>919.72351000000003</v>
      </c>
      <c r="H285" s="31">
        <f>H286</f>
        <v>49.9</v>
      </c>
      <c r="I285" s="31">
        <f t="shared" ref="I285:I286" si="80">SUM(H285-G285)</f>
        <v>-869.82351000000006</v>
      </c>
      <c r="J285" s="32">
        <f>SUM(H285/G285*100)</f>
        <v>5.4255435962488328</v>
      </c>
    </row>
    <row r="286" spans="1:10">
      <c r="A286" s="17" t="s">
        <v>221</v>
      </c>
      <c r="B286" s="47" t="s">
        <v>223</v>
      </c>
      <c r="C286" s="11"/>
      <c r="D286" s="11"/>
      <c r="E286" s="12"/>
      <c r="F286" s="13"/>
      <c r="G286" s="11">
        <v>919.72351000000003</v>
      </c>
      <c r="H286" s="108">
        <v>49.9</v>
      </c>
      <c r="I286" s="12">
        <f t="shared" si="80"/>
        <v>-869.82351000000006</v>
      </c>
      <c r="J286" s="32">
        <f>H286/G286*100</f>
        <v>5.4255435962488328</v>
      </c>
    </row>
    <row r="287" spans="1:10">
      <c r="A287" s="52" t="s">
        <v>434</v>
      </c>
      <c r="B287" s="53" t="s">
        <v>435</v>
      </c>
      <c r="C287" s="54">
        <v>240.251</v>
      </c>
      <c r="D287" s="111">
        <v>922.74300000000005</v>
      </c>
      <c r="E287" s="31">
        <f t="shared" ref="E287:E292" si="81">SUM(D287-C287)</f>
        <v>682.49200000000008</v>
      </c>
      <c r="F287" s="30" t="s">
        <v>489</v>
      </c>
      <c r="G287" s="11"/>
      <c r="H287" s="11"/>
      <c r="I287" s="12"/>
      <c r="J287" s="14"/>
    </row>
    <row r="288" spans="1:10">
      <c r="A288" s="52" t="s">
        <v>309</v>
      </c>
      <c r="B288" s="53" t="s">
        <v>310</v>
      </c>
      <c r="C288" s="54"/>
      <c r="D288" s="54">
        <f>SUM(D289+D291+D294)</f>
        <v>24285.368999999999</v>
      </c>
      <c r="E288" s="31">
        <f t="shared" si="81"/>
        <v>24285.368999999999</v>
      </c>
      <c r="F288" s="30"/>
      <c r="G288" s="54">
        <f>SUM(G289+G291+G294)</f>
        <v>8722.2308200000007</v>
      </c>
      <c r="H288" s="54">
        <f>SUM(H289+H291+H294)</f>
        <v>3388.049</v>
      </c>
      <c r="I288" s="31">
        <f>SUM(H288-G288)</f>
        <v>-5334.1818200000007</v>
      </c>
      <c r="J288" s="30">
        <f>SUM(H288/G288*100)</f>
        <v>38.84383559571976</v>
      </c>
    </row>
    <row r="289" spans="1:13" ht="33" customHeight="1">
      <c r="A289" s="17" t="s">
        <v>482</v>
      </c>
      <c r="B289" s="27" t="s">
        <v>481</v>
      </c>
      <c r="C289" s="122"/>
      <c r="D289" s="11">
        <f>SUM(D290)</f>
        <v>699.97400000000005</v>
      </c>
      <c r="E289" s="12">
        <f t="shared" si="81"/>
        <v>699.97400000000005</v>
      </c>
      <c r="F289" s="13"/>
      <c r="G289" s="54"/>
      <c r="H289" s="54"/>
      <c r="I289" s="31"/>
      <c r="J289" s="30"/>
    </row>
    <row r="290" spans="1:13" ht="39.6" customHeight="1">
      <c r="A290" s="17" t="s">
        <v>467</v>
      </c>
      <c r="B290" s="102" t="s">
        <v>468</v>
      </c>
      <c r="C290" s="107"/>
      <c r="D290" s="11">
        <v>699.97400000000005</v>
      </c>
      <c r="E290" s="12">
        <f t="shared" si="81"/>
        <v>699.97400000000005</v>
      </c>
      <c r="F290" s="13"/>
      <c r="G290" s="54"/>
      <c r="H290" s="54"/>
      <c r="I290" s="12"/>
      <c r="J290" s="13"/>
    </row>
    <row r="291" spans="1:13" ht="39.6" customHeight="1">
      <c r="A291" s="17" t="s">
        <v>484</v>
      </c>
      <c r="B291" s="27" t="s">
        <v>483</v>
      </c>
      <c r="C291" s="122"/>
      <c r="D291" s="11">
        <f>SUM(D292)</f>
        <v>16138.312</v>
      </c>
      <c r="E291" s="12">
        <f t="shared" si="81"/>
        <v>16138.312</v>
      </c>
      <c r="F291" s="13"/>
      <c r="G291" s="11">
        <f>SUM(G292+G293)</f>
        <v>3268.43082</v>
      </c>
      <c r="H291" s="11">
        <f>SUM(H292)</f>
        <v>458.34899999999999</v>
      </c>
      <c r="I291" s="12">
        <f t="shared" ref="I291:I297" si="82">SUM(H291-G291)</f>
        <v>-2810.0818199999999</v>
      </c>
      <c r="J291" s="13">
        <f>SUM(H291/G291*100)</f>
        <v>14.023518478509512</v>
      </c>
    </row>
    <row r="292" spans="1:13" ht="37.5">
      <c r="A292" s="17" t="s">
        <v>469</v>
      </c>
      <c r="B292" s="110" t="s">
        <v>476</v>
      </c>
      <c r="C292" s="112"/>
      <c r="D292" s="11">
        <v>16138.312</v>
      </c>
      <c r="E292" s="12">
        <f t="shared" si="81"/>
        <v>16138.312</v>
      </c>
      <c r="F292" s="13"/>
      <c r="G292" s="54"/>
      <c r="H292" s="108">
        <v>458.34899999999999</v>
      </c>
      <c r="I292" s="12">
        <f t="shared" si="82"/>
        <v>458.34899999999999</v>
      </c>
      <c r="J292" s="13"/>
    </row>
    <row r="293" spans="1:13" ht="37.5">
      <c r="A293" s="17" t="s">
        <v>450</v>
      </c>
      <c r="B293" s="27" t="s">
        <v>449</v>
      </c>
      <c r="C293" s="11"/>
      <c r="D293" s="11"/>
      <c r="E293" s="12"/>
      <c r="F293" s="13"/>
      <c r="G293" s="11">
        <v>3268.43082</v>
      </c>
      <c r="H293" s="11"/>
      <c r="I293" s="12">
        <f t="shared" si="82"/>
        <v>-3268.43082</v>
      </c>
      <c r="J293" s="13">
        <f>SUM(H293/G293*100)</f>
        <v>0</v>
      </c>
    </row>
    <row r="294" spans="1:13">
      <c r="A294" s="17" t="s">
        <v>311</v>
      </c>
      <c r="B294" s="27" t="s">
        <v>312</v>
      </c>
      <c r="C294" s="122"/>
      <c r="D294" s="11">
        <f>SUM(D295)</f>
        <v>7447.0829999999996</v>
      </c>
      <c r="E294" s="12">
        <f>SUM(D294-C294)</f>
        <v>7447.0829999999996</v>
      </c>
      <c r="F294" s="13"/>
      <c r="G294" s="11">
        <f>SUM(G295)</f>
        <v>5453.8</v>
      </c>
      <c r="H294" s="11">
        <f>SUM(H295)</f>
        <v>2929.7</v>
      </c>
      <c r="I294" s="12">
        <f t="shared" si="82"/>
        <v>-2524.1000000000004</v>
      </c>
      <c r="J294" s="13">
        <f>SUM(H294/G294*100)</f>
        <v>53.718508196120126</v>
      </c>
    </row>
    <row r="295" spans="1:13">
      <c r="A295" s="23" t="s">
        <v>470</v>
      </c>
      <c r="B295" s="110" t="s">
        <v>477</v>
      </c>
      <c r="C295" s="112"/>
      <c r="D295" s="88">
        <v>7447.0829999999996</v>
      </c>
      <c r="E295" s="12">
        <f>SUM(D295-C295)</f>
        <v>7447.0829999999996</v>
      </c>
      <c r="F295" s="13"/>
      <c r="G295" s="12">
        <v>5453.8</v>
      </c>
      <c r="H295" s="108">
        <v>2929.7</v>
      </c>
      <c r="I295" s="12">
        <f t="shared" si="82"/>
        <v>-2524.1000000000004</v>
      </c>
      <c r="J295" s="13">
        <f>SUM(H295/G295*100)</f>
        <v>53.718508196120126</v>
      </c>
    </row>
    <row r="296" spans="1:13" ht="20.25">
      <c r="A296" s="29"/>
      <c r="B296" s="58" t="s">
        <v>17</v>
      </c>
      <c r="C296" s="85">
        <f>C115+C118+C152+C165+C205+C211+C224+C242+C277</f>
        <v>3587598.9295500005</v>
      </c>
      <c r="D296" s="85">
        <f>D115+D118+D152+D165+D205+D211+D224+D242+D277</f>
        <v>3494243.6859999998</v>
      </c>
      <c r="E296" s="31">
        <f>SUM(D296-C296)</f>
        <v>-93355.243550000712</v>
      </c>
      <c r="F296" s="30">
        <f>SUM(D296/C296*100)</f>
        <v>97.397835003766417</v>
      </c>
      <c r="G296" s="85">
        <f>G115+G118+G152+G165+G205+G211+G224+G242+G277</f>
        <v>1033348.9450000001</v>
      </c>
      <c r="H296" s="85">
        <f>H115+H118+H152+H165+H205+H211+H224+H242+H277</f>
        <v>725801.01599999995</v>
      </c>
      <c r="I296" s="31">
        <f t="shared" si="82"/>
        <v>-307547.92900000012</v>
      </c>
      <c r="J296" s="30">
        <f>SUM(H296/G296*100)</f>
        <v>70.237746843589207</v>
      </c>
      <c r="L296" s="125"/>
      <c r="M296" s="125"/>
    </row>
    <row r="297" spans="1:13" ht="20.25">
      <c r="A297" s="29"/>
      <c r="B297" s="58" t="s">
        <v>15</v>
      </c>
      <c r="C297" s="85">
        <f>SUM(C298:C300)</f>
        <v>136826.09400000001</v>
      </c>
      <c r="D297" s="85">
        <f>SUM(D298:D300)</f>
        <v>92872.990999999995</v>
      </c>
      <c r="E297" s="31">
        <f t="shared" ref="E297:E304" si="83">SUM(D297-C297)</f>
        <v>-43953.103000000017</v>
      </c>
      <c r="F297" s="30">
        <f>SUM(D297/C297*100)</f>
        <v>67.876666127734367</v>
      </c>
      <c r="G297" s="85">
        <f>SUM(G298:G300)</f>
        <v>5000</v>
      </c>
      <c r="H297" s="85">
        <f>SUM(H298:H300)</f>
        <v>0</v>
      </c>
      <c r="I297" s="31">
        <f t="shared" si="82"/>
        <v>-5000</v>
      </c>
      <c r="J297" s="32">
        <f t="shared" ref="J297" si="84">SUM(H297/G297*100)</f>
        <v>0</v>
      </c>
    </row>
    <row r="298" spans="1:13">
      <c r="A298" s="17" t="s">
        <v>196</v>
      </c>
      <c r="B298" s="20" t="s">
        <v>30</v>
      </c>
      <c r="C298" s="55">
        <v>108245.1</v>
      </c>
      <c r="D298" s="88">
        <v>20065.666000000001</v>
      </c>
      <c r="E298" s="12">
        <f t="shared" si="83"/>
        <v>-88179.434000000008</v>
      </c>
      <c r="F298" s="13">
        <f>SUM(D298/C298*100)</f>
        <v>18.537251108826172</v>
      </c>
      <c r="G298" s="85"/>
      <c r="H298" s="85"/>
      <c r="I298" s="12"/>
      <c r="J298" s="14"/>
    </row>
    <row r="299" spans="1:13">
      <c r="A299" s="33" t="s">
        <v>230</v>
      </c>
      <c r="B299" s="27" t="s">
        <v>225</v>
      </c>
      <c r="C299" s="12">
        <v>23236.993999999999</v>
      </c>
      <c r="D299" s="88">
        <v>57500</v>
      </c>
      <c r="E299" s="12">
        <f t="shared" si="83"/>
        <v>34263.006000000001</v>
      </c>
      <c r="F299" s="13" t="s">
        <v>458</v>
      </c>
      <c r="G299" s="12">
        <v>5000</v>
      </c>
      <c r="H299" s="12"/>
      <c r="I299" s="12">
        <f>SUM(H299-G299)</f>
        <v>-5000</v>
      </c>
      <c r="J299" s="14"/>
      <c r="K299" s="124"/>
    </row>
    <row r="300" spans="1:13" ht="37.5">
      <c r="A300" s="33" t="s">
        <v>247</v>
      </c>
      <c r="B300" s="25" t="s">
        <v>248</v>
      </c>
      <c r="C300" s="48">
        <v>5344</v>
      </c>
      <c r="D300" s="11">
        <v>15307.325000000001</v>
      </c>
      <c r="E300" s="12">
        <f t="shared" si="83"/>
        <v>9963.3250000000007</v>
      </c>
      <c r="F300" s="13" t="s">
        <v>480</v>
      </c>
      <c r="G300" s="12"/>
      <c r="H300" s="12"/>
      <c r="I300" s="12"/>
      <c r="J300" s="14"/>
    </row>
    <row r="301" spans="1:13" ht="20.25">
      <c r="A301" s="15"/>
      <c r="B301" s="59" t="s">
        <v>19</v>
      </c>
      <c r="C301" s="54">
        <f>C296+C297</f>
        <v>3724425.0235500005</v>
      </c>
      <c r="D301" s="54">
        <f>D296+D297</f>
        <v>3587116.6769999997</v>
      </c>
      <c r="E301" s="31">
        <f t="shared" si="83"/>
        <v>-137308.34655000083</v>
      </c>
      <c r="F301" s="30">
        <f>SUM(D301/C301*100)</f>
        <v>96.313300826791163</v>
      </c>
      <c r="G301" s="54">
        <f>G296+G297</f>
        <v>1038348.9450000001</v>
      </c>
      <c r="H301" s="54">
        <f>H296+H297</f>
        <v>725801.01599999995</v>
      </c>
      <c r="I301" s="31">
        <f t="shared" ref="I301" si="85">SUM(H301-G301)</f>
        <v>-312547.92900000012</v>
      </c>
      <c r="J301" s="32">
        <f t="shared" ref="J301" si="86">SUM(H301/G301*100)</f>
        <v>69.899528428759552</v>
      </c>
      <c r="L301" s="125"/>
    </row>
    <row r="302" spans="1:13" ht="20.25">
      <c r="A302" s="15"/>
      <c r="B302" s="60" t="s">
        <v>18</v>
      </c>
      <c r="C302" s="31">
        <f>SUM(C304:C305)</f>
        <v>15000</v>
      </c>
      <c r="D302" s="31">
        <f>SUM(D304:D305)</f>
        <v>0</v>
      </c>
      <c r="E302" s="31">
        <f t="shared" si="83"/>
        <v>-15000</v>
      </c>
      <c r="F302" s="32">
        <f>SUM(D302/C302*100)</f>
        <v>0</v>
      </c>
      <c r="G302" s="31">
        <f>SUM(G304:G305)</f>
        <v>3018.09818</v>
      </c>
      <c r="H302" s="31">
        <f>SUM(H304:H305)</f>
        <v>-5705.4290000000001</v>
      </c>
      <c r="I302" s="31">
        <f t="shared" ref="I302" si="87">SUM(H302-G302)</f>
        <v>-8723.527180000001</v>
      </c>
      <c r="J302" s="32">
        <f t="shared" ref="J302" si="88">SUM(H302/G302*100)</f>
        <v>-189.04053677935687</v>
      </c>
    </row>
    <row r="303" spans="1:13" ht="41.65" customHeight="1">
      <c r="A303" s="15" t="s">
        <v>191</v>
      </c>
      <c r="B303" s="60" t="s">
        <v>192</v>
      </c>
      <c r="C303" s="31">
        <f>SUM(C304:C305)</f>
        <v>15000</v>
      </c>
      <c r="D303" s="31">
        <f>SUM(D304:D305)</f>
        <v>0</v>
      </c>
      <c r="E303" s="31">
        <f t="shared" si="83"/>
        <v>-15000</v>
      </c>
      <c r="F303" s="32">
        <f>SUM(D303/C303*100)</f>
        <v>0</v>
      </c>
      <c r="G303" s="31">
        <f>SUM(G304:G305)</f>
        <v>3018.09818</v>
      </c>
      <c r="H303" s="31">
        <f>SUM(H304:H305)</f>
        <v>-5705.4290000000001</v>
      </c>
      <c r="I303" s="31">
        <f t="shared" ref="I303" si="89">SUM(H303-G303)</f>
        <v>-8723.527180000001</v>
      </c>
      <c r="J303" s="32">
        <f t="shared" ref="J303" si="90">SUM(H303/G303*100)</f>
        <v>-189.04053677935687</v>
      </c>
    </row>
    <row r="304" spans="1:13" ht="37.5">
      <c r="A304" s="17" t="s">
        <v>189</v>
      </c>
      <c r="B304" s="28" t="s">
        <v>252</v>
      </c>
      <c r="C304" s="12">
        <v>15000</v>
      </c>
      <c r="D304" s="12"/>
      <c r="E304" s="12">
        <f t="shared" si="83"/>
        <v>-15000</v>
      </c>
      <c r="F304" s="14">
        <f>SUM(D304/C304*100)</f>
        <v>0</v>
      </c>
      <c r="G304" s="12">
        <v>9872.4359999999997</v>
      </c>
      <c r="H304" s="12"/>
      <c r="I304" s="12">
        <f t="shared" ref="I304" si="91">SUM(H304-G304)</f>
        <v>-9872.4359999999997</v>
      </c>
      <c r="J304" s="14">
        <f t="shared" ref="J304" si="92">SUM(H304/G304*100)</f>
        <v>0</v>
      </c>
    </row>
    <row r="305" spans="1:10" ht="37.5">
      <c r="A305" s="17" t="s">
        <v>190</v>
      </c>
      <c r="B305" s="28" t="s">
        <v>253</v>
      </c>
      <c r="C305" s="12"/>
      <c r="D305" s="12"/>
      <c r="E305" s="12"/>
      <c r="F305" s="13"/>
      <c r="G305" s="12">
        <v>-6854.3378199999997</v>
      </c>
      <c r="H305" s="12">
        <v>-5705.4290000000001</v>
      </c>
      <c r="I305" s="12">
        <f t="shared" ref="I305:I306" si="93">SUM(H305-G305)</f>
        <v>1148.9088199999997</v>
      </c>
      <c r="J305" s="14">
        <f t="shared" ref="J305:J306" si="94">SUM(H305/G305*100)</f>
        <v>83.238223003137605</v>
      </c>
    </row>
    <row r="306" spans="1:10" ht="20.25">
      <c r="A306" s="62"/>
      <c r="B306" s="60" t="s">
        <v>16</v>
      </c>
      <c r="C306" s="54">
        <f>C301+C302</f>
        <v>3739425.0235500005</v>
      </c>
      <c r="D306" s="54">
        <f>D301+D302</f>
        <v>3587116.6769999997</v>
      </c>
      <c r="E306" s="31">
        <f>SUM(D306-C306)</f>
        <v>-152308.34655000083</v>
      </c>
      <c r="F306" s="30">
        <f>SUM(D306/C306*100)</f>
        <v>95.926958139532161</v>
      </c>
      <c r="G306" s="54">
        <f>G301+G302</f>
        <v>1041367.04318</v>
      </c>
      <c r="H306" s="54">
        <f>H301+H302</f>
        <v>720095.58699999994</v>
      </c>
      <c r="I306" s="31">
        <f t="shared" si="93"/>
        <v>-321271.4561800001</v>
      </c>
      <c r="J306" s="32">
        <f t="shared" si="94"/>
        <v>69.149066288967589</v>
      </c>
    </row>
    <row r="307" spans="1:10" ht="20.25">
      <c r="A307" s="62"/>
      <c r="B307" s="44" t="s">
        <v>20</v>
      </c>
      <c r="C307" s="54"/>
      <c r="D307" s="54"/>
      <c r="E307" s="12"/>
      <c r="F307" s="30"/>
      <c r="G307" s="54"/>
      <c r="H307" s="54"/>
      <c r="I307" s="31"/>
      <c r="J307" s="32"/>
    </row>
    <row r="308" spans="1:10" ht="20.25">
      <c r="A308" s="63"/>
      <c r="B308" s="44" t="s">
        <v>21</v>
      </c>
      <c r="C308" s="54">
        <f>-C309</f>
        <v>894151.66399999999</v>
      </c>
      <c r="D308" s="54">
        <f>-D309</f>
        <v>2027150.0330999999</v>
      </c>
      <c r="E308" s="31">
        <f>SUM(D308-C308)</f>
        <v>1132998.3690999998</v>
      </c>
      <c r="F308" s="30" t="s">
        <v>509</v>
      </c>
      <c r="G308" s="54">
        <f t="shared" ref="G308:H308" si="95">-G309</f>
        <v>-568928.59100000001</v>
      </c>
      <c r="H308" s="54">
        <f t="shared" si="95"/>
        <v>-593339.34499999997</v>
      </c>
      <c r="I308" s="31">
        <f>SUM(H308-G308)</f>
        <v>-24410.753999999957</v>
      </c>
      <c r="J308" s="32">
        <f>SUM(H308/G308*100)</f>
        <v>104.29065341172139</v>
      </c>
    </row>
    <row r="309" spans="1:10" ht="20.25">
      <c r="A309" s="64">
        <v>200000</v>
      </c>
      <c r="B309" s="44" t="s">
        <v>22</v>
      </c>
      <c r="C309" s="54">
        <f>SUM(C310:C313)</f>
        <v>-894151.66399999999</v>
      </c>
      <c r="D309" s="54">
        <f>SUM(D310:D313)</f>
        <v>-2027150.0330999999</v>
      </c>
      <c r="E309" s="31">
        <f>SUM(D309-C309)</f>
        <v>-1132998.3690999998</v>
      </c>
      <c r="F309" s="30" t="s">
        <v>509</v>
      </c>
      <c r="G309" s="54">
        <f>SUM(G310:G314)</f>
        <v>568928.59100000001</v>
      </c>
      <c r="H309" s="54">
        <f>SUM(H310:H314)</f>
        <v>593339.34499999997</v>
      </c>
      <c r="I309" s="31">
        <f>SUM(H309-G309)</f>
        <v>24410.753999999957</v>
      </c>
      <c r="J309" s="32">
        <f>SUM(H309/G309*100)</f>
        <v>104.29065341172139</v>
      </c>
    </row>
    <row r="310" spans="1:10">
      <c r="A310" s="65">
        <v>203400</v>
      </c>
      <c r="B310" s="27" t="s">
        <v>23</v>
      </c>
      <c r="C310" s="108"/>
      <c r="D310" s="108"/>
      <c r="E310" s="12"/>
      <c r="F310" s="13"/>
      <c r="G310" s="123"/>
      <c r="H310" s="123"/>
      <c r="I310" s="12"/>
      <c r="J310" s="14"/>
    </row>
    <row r="311" spans="1:10">
      <c r="A311" s="66">
        <v>205000</v>
      </c>
      <c r="B311" s="25" t="s">
        <v>24</v>
      </c>
      <c r="C311" s="86"/>
      <c r="D311" s="86"/>
      <c r="E311" s="12"/>
      <c r="F311" s="13"/>
      <c r="G311" s="56">
        <v>-3359.9110000000001</v>
      </c>
      <c r="H311" s="56">
        <v>-14940.753000000001</v>
      </c>
      <c r="I311" s="12">
        <f>SUM(H311-G311)</f>
        <v>-11580.842000000001</v>
      </c>
      <c r="J311" s="14" t="s">
        <v>488</v>
      </c>
    </row>
    <row r="312" spans="1:10">
      <c r="A312" s="66">
        <v>206000</v>
      </c>
      <c r="B312" s="25" t="s">
        <v>245</v>
      </c>
      <c r="C312" s="86"/>
      <c r="D312" s="86"/>
      <c r="E312" s="12"/>
      <c r="F312" s="13"/>
      <c r="G312" s="56"/>
      <c r="H312" s="56"/>
      <c r="I312" s="12"/>
      <c r="J312" s="14"/>
    </row>
    <row r="313" spans="1:10">
      <c r="A313" s="66">
        <v>208000</v>
      </c>
      <c r="B313" s="25" t="s">
        <v>25</v>
      </c>
      <c r="C313" s="57">
        <v>-894151.66399999999</v>
      </c>
      <c r="D313" s="57">
        <v>-2027150.0330999999</v>
      </c>
      <c r="E313" s="12">
        <f>SUM(D313-C313)</f>
        <v>-1132998.3690999998</v>
      </c>
      <c r="F313" s="13" t="s">
        <v>509</v>
      </c>
      <c r="G313" s="57">
        <v>558278.53500000003</v>
      </c>
      <c r="H313" s="57">
        <v>611464.60800000001</v>
      </c>
      <c r="I313" s="12">
        <f>SUM(H313-G313)</f>
        <v>53186.072999999975</v>
      </c>
      <c r="J313" s="14">
        <f>SUM(H313/G313*100)</f>
        <v>109.52679884065397</v>
      </c>
    </row>
    <row r="314" spans="1:10">
      <c r="A314" s="66">
        <v>300000</v>
      </c>
      <c r="B314" s="25" t="s">
        <v>436</v>
      </c>
      <c r="C314" s="57"/>
      <c r="D314" s="57"/>
      <c r="E314" s="12"/>
      <c r="F314" s="13"/>
      <c r="G314" s="57">
        <v>14009.967000000001</v>
      </c>
      <c r="H314" s="57">
        <v>-3184.51</v>
      </c>
      <c r="I314" s="12">
        <f>SUM(H314-G314)</f>
        <v>-17194.476999999999</v>
      </c>
      <c r="J314" s="14">
        <f>SUM(H314/G314*100)</f>
        <v>-22.730317637436261</v>
      </c>
    </row>
    <row r="315" spans="1:10" ht="20.25">
      <c r="A315" s="67">
        <v>900230</v>
      </c>
      <c r="B315" s="46" t="s">
        <v>26</v>
      </c>
      <c r="C315" s="54">
        <f>-C308</f>
        <v>-894151.66399999999</v>
      </c>
      <c r="D315" s="54">
        <f>-D308</f>
        <v>-2027150.0330999999</v>
      </c>
      <c r="E315" s="31">
        <f>SUM(D315-C315)</f>
        <v>-1132998.3690999998</v>
      </c>
      <c r="F315" s="30" t="s">
        <v>509</v>
      </c>
      <c r="G315" s="54">
        <f>-G308</f>
        <v>568928.59100000001</v>
      </c>
      <c r="H315" s="54">
        <f>-H308</f>
        <v>593339.34499999997</v>
      </c>
      <c r="I315" s="31">
        <f>SUM(H315-G315)</f>
        <v>24410.753999999957</v>
      </c>
      <c r="J315" s="32">
        <f>SUM(H315/G315*100)</f>
        <v>104.29065341172139</v>
      </c>
    </row>
    <row r="316" spans="1:10" ht="20.25">
      <c r="A316" s="127" t="s">
        <v>512</v>
      </c>
      <c r="B316" s="127"/>
      <c r="C316" s="127"/>
      <c r="D316" s="127"/>
      <c r="E316" s="127"/>
      <c r="F316" s="127"/>
      <c r="G316" s="127"/>
      <c r="H316" s="127"/>
      <c r="I316" s="127"/>
      <c r="J316" s="127"/>
    </row>
    <row r="317" spans="1:10" ht="66.75" customHeight="1">
      <c r="A317" s="68" t="s">
        <v>2</v>
      </c>
      <c r="B317" s="69" t="s">
        <v>28</v>
      </c>
      <c r="C317" s="70" t="s">
        <v>446</v>
      </c>
      <c r="D317" s="70" t="s">
        <v>464</v>
      </c>
      <c r="E317" s="70" t="s">
        <v>31</v>
      </c>
      <c r="F317" s="71" t="s">
        <v>32</v>
      </c>
      <c r="G317" s="70" t="s">
        <v>446</v>
      </c>
      <c r="H317" s="70" t="s">
        <v>464</v>
      </c>
      <c r="I317" s="70" t="s">
        <v>31</v>
      </c>
      <c r="J317" s="71" t="s">
        <v>32</v>
      </c>
    </row>
    <row r="318" spans="1:10" ht="20.25">
      <c r="A318" s="67">
        <v>400000</v>
      </c>
      <c r="B318" s="46" t="s">
        <v>27</v>
      </c>
      <c r="C318" s="93">
        <v>81646.316999999995</v>
      </c>
      <c r="D318" s="93">
        <v>81646.316999999995</v>
      </c>
      <c r="E318" s="31">
        <f>SUM(D318-C318)</f>
        <v>0</v>
      </c>
      <c r="F318" s="72">
        <f>SUM(D318/C318*100)</f>
        <v>100</v>
      </c>
      <c r="G318" s="134"/>
      <c r="H318" s="134"/>
      <c r="I318" s="12"/>
      <c r="J318" s="73"/>
    </row>
    <row r="319" spans="1:10" ht="37.5">
      <c r="A319" s="66">
        <v>420000</v>
      </c>
      <c r="B319" s="28" t="s">
        <v>29</v>
      </c>
      <c r="C319" s="96">
        <v>81646.316999999995</v>
      </c>
      <c r="D319" s="96">
        <v>81646.316999999995</v>
      </c>
      <c r="E319" s="12">
        <f>SUM(D319-C319)</f>
        <v>0</v>
      </c>
      <c r="F319" s="73">
        <f>SUM(D319/C319*100)</f>
        <v>100</v>
      </c>
      <c r="G319" s="57"/>
      <c r="H319" s="57"/>
      <c r="I319" s="12"/>
      <c r="J319" s="73"/>
    </row>
    <row r="320" spans="1:10" ht="20.25">
      <c r="A320" s="67">
        <v>500000</v>
      </c>
      <c r="B320" s="46" t="s">
        <v>427</v>
      </c>
      <c r="C320" s="93">
        <f>SUM(C321)</f>
        <v>14009.578</v>
      </c>
      <c r="D320" s="93">
        <f>SUM(D321)</f>
        <v>14117.495000000001</v>
      </c>
      <c r="E320" s="31">
        <f>SUM(D320-C320)</f>
        <v>107.91700000000128</v>
      </c>
      <c r="F320" s="72">
        <f>SUM(D320/C320*100)</f>
        <v>100.77030871308187</v>
      </c>
      <c r="G320" s="134"/>
      <c r="H320" s="134"/>
      <c r="I320" s="12"/>
      <c r="J320" s="73"/>
    </row>
    <row r="321" spans="1:10" ht="41.65" customHeight="1">
      <c r="A321" s="74">
        <v>510000</v>
      </c>
      <c r="B321" s="27" t="s">
        <v>428</v>
      </c>
      <c r="C321" s="96">
        <v>14009.578</v>
      </c>
      <c r="D321" s="96">
        <v>14117.495000000001</v>
      </c>
      <c r="E321" s="12">
        <f>SUM(D321-C321)</f>
        <v>107.91700000000128</v>
      </c>
      <c r="F321" s="73">
        <f>SUM(D321/C321*100)</f>
        <v>100.77030871308187</v>
      </c>
      <c r="G321" s="57"/>
      <c r="H321" s="57"/>
      <c r="I321" s="12"/>
      <c r="J321" s="73"/>
    </row>
    <row r="322" spans="1:10" ht="20.25">
      <c r="A322" s="75"/>
      <c r="B322" s="46" t="s">
        <v>426</v>
      </c>
      <c r="C322" s="135">
        <f>SUM(C318)+C320</f>
        <v>95655.89499999999</v>
      </c>
      <c r="D322" s="135">
        <f>SUM(D318)+D320</f>
        <v>95763.811999999991</v>
      </c>
      <c r="E322" s="31">
        <f>SUM(D322-C322)</f>
        <v>107.91700000000128</v>
      </c>
      <c r="F322" s="72">
        <f>SUM(D322/C322*100)</f>
        <v>100.11281792930798</v>
      </c>
      <c r="G322" s="86"/>
      <c r="H322" s="86"/>
      <c r="I322" s="86"/>
      <c r="J322" s="136"/>
    </row>
  </sheetData>
  <customSheetViews>
    <customSheetView guid="{CFD58EC5-F475-4F0C-8822-861C497EA100}" scale="90" showPageBreaks="1" printArea="1" view="pageBreakPreview">
      <selection activeCell="H2" sqref="H2:I2"/>
      <pageMargins left="0.35433070866141736" right="0.19685039370078741" top="0.19685039370078741" bottom="0.19685039370078741" header="0.15748031496062992" footer="0.15748031496062992"/>
      <pageSetup paperSize="9" scale="48" fitToHeight="12" orientation="landscape" verticalDpi="144" r:id="rId1"/>
      <headerFooter differentFirst="1" alignWithMargins="0">
        <oddFooter>&amp;R&amp;P</oddFooter>
      </headerFooter>
    </customSheetView>
    <customSheetView guid="{84AB9039-6109-4932-AA14-522BD4A30F0B}" scale="75" showPageBreaks="1" fitToPage="1">
      <pane xSplit="2" ySplit="9" topLeftCell="C243" activePane="bottomRight" state="frozen"/>
      <selection pane="bottomRight" sqref="A1:J1"/>
      <pageMargins left="0.19685039370078741" right="0.23622047244094491" top="0.19685039370078741" bottom="0.19685039370078741" header="0.15748031496062992" footer="0.15748031496062992"/>
      <pageSetup paperSize="9" scale="30" fitToHeight="12" orientation="landscape" horizontalDpi="120" verticalDpi="144" r:id="rId2"/>
      <headerFooter alignWithMargins="0"/>
    </customSheetView>
    <customSheetView guid="{68CBFC64-03A4-4F74-B34E-EE1DB915A668}" scale="85" showPageBreaks="1" fitToPage="1">
      <pane xSplit="2" ySplit="9" topLeftCell="C119" activePane="bottomRight" state="frozen"/>
      <selection pane="bottomRight" activeCell="K120" sqref="K120:K122"/>
      <pageMargins left="0.19685039370078741" right="0.23622047244094491" top="0.19685039370078741" bottom="0.19685039370078741" header="0.15748031496062992" footer="0.15748031496062992"/>
      <pageSetup paperSize="9" scale="28" fitToHeight="12" orientation="landscape" horizontalDpi="120" verticalDpi="144" r:id="rId3"/>
      <headerFooter alignWithMargins="0"/>
    </customSheetView>
    <customSheetView guid="{D0621073-25BE-47D7-AC33-51146458D41C}" scale="85" showPageBreaks="1" fitToPage="1">
      <pane xSplit="2" ySplit="9" topLeftCell="C197" activePane="bottomRight" state="frozen"/>
      <selection pane="bottomRight" activeCell="B184" sqref="B184"/>
      <pageMargins left="0.19685039370078741" right="0.23622047244094491" top="0.19685039370078741" bottom="0.19685039370078741" header="0.15748031496062992" footer="0.15748031496062992"/>
      <pageSetup paperSize="9" scale="28" fitToHeight="12" orientation="landscape" horizontalDpi="120" verticalDpi="144" r:id="rId4"/>
      <headerFooter alignWithMargins="0"/>
    </customSheetView>
    <customSheetView guid="{221AFC77-C97B-4D44-8163-7AA758A08BF9}" scale="71" showPageBreaks="1" fitToPage="1" printArea="1" showRuler="0">
      <pane ySplit="6" topLeftCell="A7" activePane="bottomLeft" state="frozen"/>
      <selection pane="bottomLeft" activeCell="J5" sqref="J5"/>
      <pageMargins left="0.19685039370078741" right="0.23622047244094491" top="0.19685039370078741" bottom="0.19685039370078741" header="0.15748031496062992" footer="0.15748031496062992"/>
      <pageSetup paperSize="9" scale="49" fitToHeight="12" orientation="landscape" verticalDpi="144" r:id="rId5"/>
      <headerFooter alignWithMargins="0"/>
    </customSheetView>
    <customSheetView guid="{713A662A-DFDD-43FB-A56E-1E210432D89D}" scale="85" fitToPage="1">
      <pane xSplit="2" ySplit="9" topLeftCell="C104" activePane="bottomRight" state="frozen"/>
      <selection pane="bottomRight" activeCell="C117" sqref="C117:C118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6"/>
      <headerFooter alignWithMargins="0"/>
    </customSheetView>
    <customSheetView guid="{675C859F-867B-4E3E-8283-3B2C94BFA5E5}" scale="80" showPageBreaks="1" fitToPage="1">
      <pane xSplit="2" ySplit="9" topLeftCell="C184" activePane="bottomRight" state="frozen"/>
      <selection pane="bottomRight" activeCell="H194" sqref="H194"/>
      <pageMargins left="0.19685039370078741" right="0.23622047244094491" top="0.19685039370078741" bottom="0.19685039370078741" header="0.15748031496062992" footer="0.15748031496062992"/>
      <pageSetup paperSize="9" scale="32" fitToHeight="12" orientation="landscape" horizontalDpi="120" verticalDpi="144" r:id="rId7"/>
      <headerFooter alignWithMargins="0"/>
    </customSheetView>
    <customSheetView guid="{F9324F9E-6E0D-484A-B1A6-F87CCAA93894}" scale="90" fitToPage="1">
      <pane xSplit="2" ySplit="9" topLeftCell="C121" activePane="bottomRight" state="frozen"/>
      <selection pane="bottomRight" activeCell="G323" sqref="G32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8"/>
      <headerFooter alignWithMargins="0"/>
    </customSheetView>
    <customSheetView guid="{90518B97-7307-4173-A97E-975285B914B1}" scale="75" showPageBreaks="1" topLeftCell="A115">
      <selection activeCell="C120" sqref="C120"/>
      <pageMargins left="0.47244094488188981" right="0.23622047244094491" top="0.19685039370078741" bottom="0.19685039370078741" header="0.15748031496062992" footer="0.15748031496062992"/>
      <pageSetup paperSize="9" scale="48" fitToHeight="12" orientation="landscape" verticalDpi="144" r:id="rId9"/>
      <headerFooter differentFirst="1" alignWithMargins="0">
        <oddFooter>&amp;R&amp;P</oddFooter>
      </headerFooter>
    </customSheetView>
    <customSheetView guid="{966D3932-E429-4C59-AC55-697D9EEA620A}" scale="90" showPageBreaks="1" fitToPage="1" printArea="1" showAutoFilter="1" view="pageBreakPreview">
      <pane xSplit="2" ySplit="7" topLeftCell="C8" activePane="bottomRight" state="frozen"/>
      <selection pane="bottomRight" activeCell="C308" sqref="C308:H309"/>
      <pageMargins left="0.19685039370078741" right="0.23622047244094491" top="0.19685039370078741" bottom="0.19685039370078741" header="0.15748031496062992" footer="0.15748031496062992"/>
      <pageSetup paperSize="9" scale="43" fitToHeight="12" orientation="landscape" verticalDpi="144" r:id="rId10"/>
      <headerFooter alignWithMargins="0"/>
      <autoFilter ref="A6:L365"/>
    </customSheetView>
    <customSheetView guid="{EF32CA8F-131B-41F0-AA31-167807ADE2D4}" scale="85" fitToPage="1">
      <pane xSplit="2" ySplit="9" topLeftCell="C135" activePane="bottomRight" state="frozen"/>
      <selection pane="bottomRight" activeCell="H149" sqref="H149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11"/>
      <headerFooter alignWithMargins="0"/>
    </customSheetView>
    <customSheetView guid="{2C18B72E-FABC-405E-9989-871873679CB9}" scale="85" fitToPage="1">
      <pane xSplit="2" ySplit="9" topLeftCell="C165" activePane="bottomRight" state="frozen"/>
      <selection pane="bottomRight" activeCell="A163" sqref="A163:J171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12"/>
      <headerFooter alignWithMargins="0"/>
    </customSheetView>
    <customSheetView guid="{8112C56A-816E-41B5-AC5C-5C34336EE27C}" scale="85" fitToPage="1">
      <pane xSplit="2" ySplit="9" topLeftCell="F215" activePane="bottomRight" state="frozen"/>
      <selection pane="bottomRight" activeCell="H220" sqref="H220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13"/>
      <headerFooter alignWithMargins="0"/>
    </customSheetView>
    <customSheetView guid="{B0CF427B-E64B-46A6-97A4-9B49090FE4BE}" scale="85" fitToPage="1">
      <pane xSplit="2" ySplit="9" topLeftCell="C130" activePane="bottomRight" state="frozen"/>
      <selection pane="bottomRight" activeCell="A133" sqref="A133:IV133"/>
      <pageMargins left="0.19685039370078741" right="0.23622047244094491" top="0.19685039370078741" bottom="0.19685039370078741" header="0.15748031496062992" footer="0.15748031496062992"/>
      <pageSetup paperSize="9" scale="29" fitToHeight="12" orientation="landscape" horizontalDpi="120" verticalDpi="144" r:id="rId14"/>
      <headerFooter alignWithMargins="0"/>
    </customSheetView>
    <customSheetView guid="{72EDDA2C-BFF2-4D48-A13B-2B9C46213374}" scale="75" fitToPage="1">
      <pane xSplit="2" ySplit="9" topLeftCell="D242" activePane="bottomRight" state="frozen"/>
      <selection pane="bottomRight" activeCell="H241" sqref="H241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15"/>
      <headerFooter alignWithMargins="0"/>
    </customSheetView>
    <customSheetView guid="{839A87F2-F73A-45C5-ADB8-392A99CC1EFF}" scale="85" fitToPage="1">
      <pane xSplit="2" ySplit="4" topLeftCell="C286" activePane="bottomRight" state="frozen"/>
      <selection pane="bottomRight" activeCell="L291" sqref="L291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16"/>
      <headerFooter alignWithMargins="0"/>
    </customSheetView>
    <customSheetView guid="{5EEB5DC5-097B-47D6-81BA-F19E1000B57E}" scale="75" fitToPage="1" printArea="1" showRuler="0">
      <pane xSplit="2" ySplit="9" topLeftCell="C131" activePane="bottomRight" state="frozen"/>
      <selection pane="bottomRight" activeCell="G189" sqref="G189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17"/>
      <headerFooter alignWithMargins="0"/>
    </customSheetView>
    <customSheetView guid="{795D5ECF-BF90-4F3E-A74E-B1A55C8421F2}" scale="75" fitToPage="1">
      <pane xSplit="2" ySplit="9" topLeftCell="C65" activePane="bottomRight" state="frozen"/>
      <selection pane="bottomRight" activeCell="B83" sqref="B8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18"/>
      <headerFooter alignWithMargins="0"/>
    </customSheetView>
    <customSheetView guid="{E147D13D-D04D-431E-888C-5A9AE670FC44}" scale="75" showPageBreaks="1" view="pageBreakPreview" showRuler="0" topLeftCell="A7">
      <pane xSplit="2" ySplit="10" topLeftCell="C140" activePane="bottomRight" state="frozen"/>
      <selection pane="bottomRight" activeCell="A145" sqref="A145"/>
      <pageMargins left="0.19685039370078741" right="0.23622047244094491" top="0.19685039370078741" bottom="0.19685039370078741" header="0.15748031496062992" footer="0.15748031496062992"/>
      <pageSetup paperSize="9" scale="59" orientation="landscape" horizontalDpi="120" verticalDpi="144" r:id="rId19"/>
      <headerFooter alignWithMargins="0"/>
    </customSheetView>
    <customSheetView guid="{3B5575E9-696E-4E1F-8BBE-8483CF318052}" scale="75" fitToPage="1" printArea="1" showRuler="0">
      <pane xSplit="2" ySplit="9" topLeftCell="G49" activePane="bottomRight" state="frozen"/>
      <selection pane="bottomRight" activeCell="G52" sqref="G52"/>
      <pageMargins left="0.19685039370078741" right="0.23622047244094491" top="0.19685039370078741" bottom="0.19685039370078741" header="0.15748031496062992" footer="0.15748031496062992"/>
      <pageSetup paperSize="9" scale="58" fitToHeight="12" orientation="landscape" horizontalDpi="120" verticalDpi="144" r:id="rId20"/>
      <headerFooter alignWithMargins="0"/>
    </customSheetView>
    <customSheetView guid="{452C56A1-7A56-4ADE-A5CF-E260228787E3}" scale="75" showPageBreaks="1" fitToPage="1" printArea="1" view="pageBreakPreview" showRuler="0" topLeftCell="A6">
      <pane xSplit="2" ySplit="4" topLeftCell="J189" activePane="bottomRight" state="frozen"/>
      <selection pane="bottomRight" activeCell="A197" sqref="A197:J197"/>
      <pageMargins left="0.19685039370078741" right="0.23622047244094491" top="0.19685039370078741" bottom="0.19685039370078741" header="0.15748031496062992" footer="0.15748031496062992"/>
      <pageSetup paperSize="9" scale="53" fitToHeight="12" orientation="landscape" horizontalDpi="120" verticalDpi="144" r:id="rId21"/>
      <headerFooter alignWithMargins="0"/>
    </customSheetView>
    <customSheetView guid="{7EDDA008-F905-436E-A980-951BDACDA577}" scale="80" fitToPage="1">
      <pane xSplit="2" ySplit="9" topLeftCell="C10" activePane="bottomRight" state="frozen"/>
      <selection pane="bottomRight" activeCell="I19" sqref="I19"/>
      <pageMargins left="0.19685039370078741" right="0.23622047244094491" top="0.19685039370078741" bottom="0.19685039370078741" header="0.15748031496062992" footer="0.15748031496062992"/>
      <pageSetup paperSize="9" scale="50" fitToHeight="12" orientation="landscape" horizontalDpi="120" verticalDpi="144" r:id="rId22"/>
      <headerFooter alignWithMargins="0"/>
    </customSheetView>
    <customSheetView guid="{2A0A5548-2EEF-4469-A03C-FA481083CE33}" scale="60" showPageBreaks="1" fitToPage="1" showRuler="0">
      <pane xSplit="2" ySplit="9" topLeftCell="C84" activePane="bottomRight" state="frozen"/>
      <selection pane="bottomRight" activeCell="D85" sqref="D85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3"/>
      <headerFooter alignWithMargins="0"/>
    </customSheetView>
    <customSheetView guid="{CC0A6F72-A956-4FF0-A9CF-B2F133844683}" scale="75" fitToPage="1" topLeftCell="A4">
      <pane xSplit="2" ySplit="1" topLeftCell="D247" activePane="bottomRight" state="frozen"/>
      <selection pane="bottomRight" activeCell="D263" sqref="D26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4"/>
      <headerFooter alignWithMargins="0"/>
    </customSheetView>
    <customSheetView guid="{B5FF27E5-4C0E-4323-88CE-5D44F441DDEF}" scale="60" fitToPage="1">
      <pane xSplit="2" ySplit="9" topLeftCell="D65" activePane="bottomRight" state="frozen"/>
      <selection pane="bottomRight" activeCell="F101" sqref="F101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5"/>
      <headerFooter alignWithMargins="0"/>
    </customSheetView>
    <customSheetView guid="{33313D92-ACCC-472C-8066-C92558BED64F}" scale="65" showPageBreaks="1" fitToPage="1">
      <pane xSplit="2" ySplit="9" topLeftCell="C220" activePane="bottomRight" state="frozen"/>
      <selection pane="bottomRight" activeCell="C124" sqref="C124:F12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6"/>
      <headerFooter alignWithMargins="0"/>
    </customSheetView>
    <customSheetView guid="{F9D2B861-A6DF-4E58-9205-20667B07345D}" scale="85" fitToPage="1">
      <pane xSplit="2" ySplit="9" topLeftCell="C10" activePane="bottomRight" state="frozen"/>
      <selection pane="bottomRight" activeCell="A174" sqref="A17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7"/>
      <headerFooter alignWithMargins="0"/>
    </customSheetView>
    <customSheetView guid="{0EDC1FFF-2611-4DAC-98A8-22EC25025967}" scale="75" showPageBreaks="1" fitToPage="1">
      <pane xSplit="2" ySplit="9" topLeftCell="C240" activePane="bottomRight" state="frozen"/>
      <selection pane="bottomRight" activeCell="I240" sqref="I240:J250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8"/>
      <headerFooter alignWithMargins="0"/>
    </customSheetView>
    <customSheetView guid="{998E5F34-5F22-456C-AF6B-44B849DA5E75}" scale="70">
      <pane xSplit="2" ySplit="5" topLeftCell="F6" activePane="bottomRight" state="frozen"/>
      <selection pane="bottomRight" sqref="A1:J1"/>
      <pageMargins left="0.47244094488188981" right="0.23622047244094491" top="0.19685039370078741" bottom="0.19685039370078741" header="0.15748031496062992" footer="0.15748031496062992"/>
      <pageSetup paperSize="9" scale="48" fitToHeight="12" orientation="landscape" verticalDpi="144" r:id="rId29"/>
      <headerFooter alignWithMargins="0"/>
    </customSheetView>
    <customSheetView guid="{471079C8-6E8B-4088-8968-A7D0C5B8653D}" scale="85" fitToPage="1">
      <pane xSplit="2" ySplit="9" topLeftCell="C174" activePane="bottomRight" state="frozen"/>
      <selection pane="bottomRight" activeCell="C182" sqref="C182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30"/>
      <headerFooter alignWithMargins="0"/>
    </customSheetView>
    <customSheetView guid="{A600D8D5-C13F-49F2-9D2C-FC8EA32AC551}" scale="90" showPageBreaks="1" view="pageBreakPreview">
      <pane xSplit="2" ySplit="7" topLeftCell="C263" activePane="bottomRight" state="frozen"/>
      <selection pane="bottomRight" activeCell="D264" sqref="D264"/>
      <pageMargins left="0.47244094488188981" right="0.23622047244094491" top="0.19685039370078741" bottom="0.19685039370078741" header="0.15748031496062992" footer="0.15748031496062992"/>
      <pageSetup paperSize="9" scale="47" fitToHeight="12" orientation="landscape" verticalDpi="144" r:id="rId31"/>
      <headerFooter differentFirst="1" alignWithMargins="0">
        <oddFooter>&amp;R&amp;P</oddFooter>
      </headerFooter>
    </customSheetView>
    <customSheetView guid="{868786DC-4C96-45F5-A272-3E03D4B934A0}" scale="58" showPageBreaks="1" fitToPage="1">
      <pane xSplit="2" ySplit="9" topLeftCell="C256" activePane="bottomRight" state="frozen"/>
      <selection pane="bottomRight" activeCell="G282" sqref="G282"/>
      <pageMargins left="0.19685039370078741" right="0.23622047244094491" top="0.19685039370078741" bottom="0.19685039370078741" header="0.15748031496062992" footer="0.15748031496062992"/>
      <pageSetup paperSize="9" scale="42" fitToHeight="12" orientation="landscape" horizontalDpi="120" verticalDpi="144" r:id="rId32"/>
      <headerFooter alignWithMargins="0"/>
    </customSheetView>
    <customSheetView guid="{8FB1E024-9866-4CAD-B900-0CCFEA27B234}" scale="75" showPageBreaks="1" fitToPage="1" printArea="1" showRuler="0">
      <pane xSplit="2" ySplit="9" topLeftCell="C120" activePane="bottomRight" state="frozen"/>
      <selection pane="bottomRight" activeCell="H134" sqref="H134"/>
      <pageMargins left="0.19685039370078741" right="0.23622047244094491" top="0.19685039370078741" bottom="0.19685039370078741" header="0.15748031496062992" footer="0.15748031496062992"/>
      <pageSetup paperSize="9" scale="43" fitToHeight="12" orientation="landscape" verticalDpi="144" r:id="rId33"/>
      <headerFooter alignWithMargins="0"/>
    </customSheetView>
    <customSheetView guid="{0CBA335B-0DD8-471B-913E-91954D8A7DE8}" scale="85" fitToPage="1" hiddenRows="1">
      <pane xSplit="2" ySplit="9" topLeftCell="G115" activePane="bottomRight" state="frozen"/>
      <selection pane="bottomRight" activeCell="I118" sqref="I118"/>
      <pageMargins left="0.19685039370078741" right="0.23622047244094491" top="0.19685039370078741" bottom="0.19685039370078741" header="0.15748031496062992" footer="0.15748031496062992"/>
      <pageSetup paperSize="9" scale="43" fitToHeight="12" orientation="landscape" horizontalDpi="120" verticalDpi="144" r:id="rId34"/>
      <headerFooter alignWithMargins="0"/>
    </customSheetView>
    <customSheetView guid="{1BDFBE17-25BB-4BB9-B67F-4757B39B2D64}" scale="70" showPageBreaks="1" fitToPage="1">
      <pane xSplit="2" ySplit="9" topLeftCell="C73" activePane="bottomRight" state="frozen"/>
      <selection pane="bottomRight" activeCell="C82" sqref="C82"/>
      <pageMargins left="0.19685039370078741" right="0.23622047244094491" top="0.19685039370078741" bottom="0.19685039370078741" header="0.15748031496062992" footer="0.15748031496062992"/>
      <pageSetup paperSize="9" scale="30" fitToHeight="12" orientation="landscape" verticalDpi="144" r:id="rId35"/>
      <headerFooter alignWithMargins="0"/>
    </customSheetView>
    <customSheetView guid="{BE1C4A44-01B5-4ECE-8D55-C71095D37032}" scale="80" showPageBreaks="1" fitToPage="1">
      <pane xSplit="2" ySplit="9" topLeftCell="C118" activePane="bottomRight" state="frozen"/>
      <selection pane="bottomRight" activeCell="C120" sqref="C120"/>
      <pageMargins left="0.19685039370078741" right="0.23622047244094491" top="0.19685039370078741" bottom="0.19685039370078741" header="0.15748031496062992" footer="0.15748031496062992"/>
      <pageSetup paperSize="9" scale="29" fitToHeight="12" orientation="landscape" horizontalDpi="120" verticalDpi="144" r:id="rId36"/>
      <headerFooter alignWithMargins="0"/>
    </customSheetView>
    <customSheetView guid="{3824CD03-2F75-4531-8348-997F8B6518CE}" scale="85" fitToPage="1">
      <pane xSplit="2" ySplit="9" topLeftCell="C275" activePane="bottomRight" state="frozen"/>
      <selection pane="bottomRight" activeCell="A213" sqref="A213:XFD225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37"/>
      <headerFooter alignWithMargins="0"/>
    </customSheetView>
    <customSheetView guid="{CFB0A04F-563D-4D2B-BCD3-ACFCDC70E584}" scale="85" showPageBreaks="1" fitToPage="1" hiddenRows="1">
      <pane xSplit="2" ySplit="8" topLeftCell="C10" activePane="bottomRight" state="frozen"/>
      <selection pane="bottomRight" activeCell="G127" sqref="G127"/>
      <pageMargins left="0.19685039370078741" right="0.23622047244094491" top="0.19685039370078741" bottom="0.19685039370078741" header="0.15748031496062992" footer="0.15748031496062992"/>
      <pageSetup paperSize="9" scale="34" fitToHeight="12" orientation="landscape" horizontalDpi="120" verticalDpi="144" r:id="rId38"/>
      <headerFooter alignWithMargins="0"/>
    </customSheetView>
    <customSheetView guid="{BC4BF63E-98F8-4CE0-B0DE-A2A71C291EFE}" scale="85" showPageBreaks="1">
      <pane xSplit="2" ySplit="9" topLeftCell="C146" activePane="bottomRight" state="frozen"/>
      <selection pane="bottomRight" activeCell="G3" sqref="G3:J3"/>
      <pageMargins left="0.19685039370078741" right="0.23622047244094491" top="0.19685039370078741" bottom="0.19685039370078741" header="0.15748031496062992" footer="0.15748031496062992"/>
      <pageSetup paperSize="9" scale="45" fitToHeight="12" orientation="landscape" horizontalDpi="120" verticalDpi="144" r:id="rId39"/>
      <headerFooter alignWithMargins="0"/>
    </customSheetView>
    <customSheetView guid="{9BFA17BE-4413-48EA-8DFA-9D7972E1D966}" scale="85" showPageBreaks="1">
      <pane xSplit="2" ySplit="9" topLeftCell="C274" activePane="bottomRight" state="frozen"/>
      <selection pane="bottomRight" activeCell="D281" sqref="D281"/>
      <pageMargins left="0.19685039370078741" right="0.23622047244094491" top="0.19685039370078741" bottom="0.19685039370078741" header="0.15748031496062992" footer="0.15748031496062992"/>
      <pageSetup paperSize="9" scale="55" fitToHeight="12" orientation="landscape" horizontalDpi="120" verticalDpi="144" r:id="rId40"/>
      <headerFooter alignWithMargins="0"/>
    </customSheetView>
    <customSheetView guid="{FA039D92-C83F-438E-BA9D-917452CA1B7F}" scale="85" showPageBreaks="1" fitToPage="1">
      <pane xSplit="2" ySplit="9" topLeftCell="C240" activePane="bottomRight"/>
      <selection pane="bottomRight" activeCell="E242" sqref="E242"/>
      <pageMargins left="0.19685039370078741" right="0.23622047244094491" top="0.19685039370078741" bottom="0.19685039370078741" header="0.15748031496062992" footer="0.15748031496062992"/>
      <pageSetup paperSize="9" scale="28" fitToHeight="12" orientation="landscape" horizontalDpi="120" verticalDpi="144" r:id="rId41"/>
      <headerFooter alignWithMargins="0"/>
    </customSheetView>
    <customSheetView guid="{06B33669-D909-4CD8-806F-33C009B9DF0A}" scale="75" showPageBreaks="1" fitToPage="1">
      <pane xSplit="2" ySplit="9" topLeftCell="C227" activePane="bottomRight" state="frozen"/>
      <selection pane="bottomRight" activeCell="J233" sqref="J233"/>
      <pageMargins left="0.19685039370078741" right="0.23622047244094491" top="0.19685039370078741" bottom="0.19685039370078741" header="0.15748031496062992" footer="0.15748031496062992"/>
      <pageSetup paperSize="9" scale="31" fitToHeight="12" orientation="portrait" horizontalDpi="120" verticalDpi="144" r:id="rId42"/>
      <headerFooter alignWithMargins="0"/>
    </customSheetView>
    <customSheetView guid="{8DA01475-C6A0-4A19-B7EB-B1C704431492}" scale="70" showPageBreaks="1" fitToPage="1">
      <pane xSplit="2" ySplit="9" topLeftCell="C91" activePane="bottomRight" state="frozen"/>
      <selection pane="bottomRight" activeCell="A298" sqref="A298:J298"/>
      <pageMargins left="0.19685039370078741" right="0.23622047244094491" top="0.19685039370078741" bottom="0.19685039370078741" header="0.15748031496062992" footer="0.15748031496062992"/>
      <pageSetup paperSize="9" scale="28" fitToHeight="12" orientation="landscape" horizontalDpi="120" verticalDpi="144" r:id="rId43"/>
      <headerFooter alignWithMargins="0"/>
    </customSheetView>
    <customSheetView guid="{95A7493F-2B11-406A-BB91-458FD9DC3BAE}" scale="75" showPageBreaks="1" fitToPage="1" printArea="1" showRuler="0">
      <pane xSplit="2" ySplit="9" topLeftCell="C103" activePane="bottomRight" state="frozen"/>
      <selection pane="bottomRight" activeCell="G104" sqref="G104"/>
      <pageMargins left="0.19685039370078741" right="0.19685039370078741" top="0.19685039370078741" bottom="0.19685039370078741" header="0.15748031496062992" footer="0.15748031496062992"/>
      <pageSetup paperSize="9" scale="49" fitToHeight="14" orientation="landscape" verticalDpi="144" r:id="rId44"/>
      <headerFooter alignWithMargins="0"/>
    </customSheetView>
  </customSheetViews>
  <mergeCells count="9">
    <mergeCell ref="H2:I2"/>
    <mergeCell ref="A316:J316"/>
    <mergeCell ref="A114:J114"/>
    <mergeCell ref="A4:J4"/>
    <mergeCell ref="C6:F6"/>
    <mergeCell ref="G6:J6"/>
    <mergeCell ref="A6:A7"/>
    <mergeCell ref="B6:B7"/>
    <mergeCell ref="A9:J9"/>
  </mergeCells>
  <phoneticPr fontId="1" type="noConversion"/>
  <pageMargins left="0.43307086614173229" right="0.23622047244094491" top="0.35433070866141736" bottom="0.74803149606299213" header="0.31496062992125984" footer="0.31496062992125984"/>
  <pageSetup paperSize="9" scale="47" fitToHeight="11" orientation="landscape" verticalDpi="144" r:id="rId45"/>
  <headerFooter scaleWithDoc="0" alignWithMargins="0"/>
  <rowBreaks count="1" manualBreakCount="1">
    <brk id="31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общее</vt:lpstr>
      <vt:lpstr>общее!Заголовки_для_печати</vt:lpstr>
      <vt:lpstr>общее!Область_печати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User416b</cp:lastModifiedBy>
  <cp:lastPrinted>2023-02-13T11:54:50Z</cp:lastPrinted>
  <dcterms:created xsi:type="dcterms:W3CDTF">2001-02-08T10:51:36Z</dcterms:created>
  <dcterms:modified xsi:type="dcterms:W3CDTF">2023-02-14T11:38:09Z</dcterms:modified>
</cp:coreProperties>
</file>