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'укр'!$A$5:$M$93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 refMode="R1C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<sst xmlns="http://schemas.openxmlformats.org/spreadsheetml/2006/main" count="190" uniqueCount="77">
  <si>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</si>
  <si>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</si>
  <si>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</si>
  <si>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</si>
  <si>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</si>
  <si>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</si>
  <si>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</si>
  <si>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</si>
  <si>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</si>
  <si>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</si>
  <si>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</si>
  <si>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</si>
  <si>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</si>
  <si>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</si>
  <si>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</si>
  <si>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</si>
  <si>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</si>
  <si>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</si>
  <si>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</si>
  <si>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</si>
  <si>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</si>
  <si>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</si>
  <si>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</si>
  <si>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</si>
  <si>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</si>
  <si>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</si>
  <si>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</si>
  <si>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</si>
  <si>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</si>
  <si>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</si>
  <si>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</si>
  <si>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</si>
  <si>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</si>
  <si>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</si>
  <si>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</si>
  <si>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</si>
  <si>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</si>
  <si>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</si>
  <si>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</si>
  <si>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</si>
  <si>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</si>
  <si>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</si>
  <si>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</si>
  <si>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</si>
  <si>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</si>
  <si>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</si>
  <si>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</si>
  <si>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</si>
  <si>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</si>
  <si>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</si>
  <si>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</si>
  <si>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</si>
  <si>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</si>
  <si>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</si>
  <si>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</si>
  <si>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</si>
  <si>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</si>
  <si>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</si>
  <si>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</si>
  <si>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</si>
  <si>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</si>
  <si>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</si>
  <si>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</si>
  <si>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</si>
  <si>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</si>
  <si>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</si>
  <si>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</si>
  <si>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</si>
  <si>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</si>
  <si>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</si>
  <si>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</si>
  <si>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</si>
  <si>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</si>
  <si>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План на січень-вересень з урахуванням змін, тис. грн.</t>
  </si>
  <si>
    <t xml:space="preserve">План на январь-сентябрь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</si>
  <si>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25 вересня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</si>
  <si>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25 сентября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</si>
</sst>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0" sqref="C80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72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73</v>
      </c>
      <c r="D3" s="77" t="s">
        <v>75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584576.8840000001</v>
      </c>
      <c r="C5" s="18">
        <f>C6+C13</f>
        <v>422793.007</v>
      </c>
      <c r="D5" s="18">
        <f>D6+D13</f>
        <v>394529.173</v>
      </c>
      <c r="E5" s="19">
        <f>SUM(D5)/B5*100</f>
        <v>67.48969789917317</v>
      </c>
      <c r="F5" s="19">
        <f>SUM(D5)/C5*100</f>
        <v>93.31497126677878</v>
      </c>
      <c r="G5" s="65"/>
    </row>
    <row r="6" spans="1:7" s="14" customFormat="1" ht="16.5" customHeight="1">
      <c r="A6" s="30" t="s">
        <v>34</v>
      </c>
      <c r="B6" s="55">
        <v>551058.795</v>
      </c>
      <c r="C6" s="25">
        <v>396965.006</v>
      </c>
      <c r="D6" s="25">
        <f>375653.985+95.422</f>
        <v>375749.407</v>
      </c>
      <c r="E6" s="20">
        <f>SUM(D6)/B6*100</f>
        <v>68.18680881411211</v>
      </c>
      <c r="F6" s="20">
        <f>SUM(D6)/C6*100</f>
        <v>94.65554931056064</v>
      </c>
      <c r="G6" s="66"/>
    </row>
    <row r="7" spans="1:7" s="3" customFormat="1" ht="14.25" customHeight="1">
      <c r="A7" s="12" t="s">
        <v>1</v>
      </c>
      <c r="B7" s="11">
        <v>304520.487</v>
      </c>
      <c r="C7" s="11">
        <v>226707.941</v>
      </c>
      <c r="D7" s="11">
        <v>221465.585</v>
      </c>
      <c r="E7" s="20">
        <f aca="true" t="shared" si="0" ref="E7:E73">SUM(D7)/B7*100</f>
        <v>72.72600513081406</v>
      </c>
      <c r="F7" s="20">
        <f aca="true" t="shared" si="1" ref="F7:F73">SUM(D7)/C7*100</f>
        <v>97.68761695030348</v>
      </c>
      <c r="G7" s="66"/>
    </row>
    <row r="8" spans="1:7" s="3" customFormat="1" ht="15">
      <c r="A8" s="12" t="s">
        <v>29</v>
      </c>
      <c r="B8" s="11">
        <v>110662.766</v>
      </c>
      <c r="C8" s="11">
        <v>81864.413</v>
      </c>
      <c r="D8" s="11">
        <v>80994.281</v>
      </c>
      <c r="E8" s="20">
        <f t="shared" si="0"/>
        <v>73.19018304675305</v>
      </c>
      <c r="F8" s="20">
        <f t="shared" si="1"/>
        <v>98.93710591927166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f>66.723+0.256</f>
        <v>66.979</v>
      </c>
      <c r="E9" s="20">
        <f t="shared" si="0"/>
        <v>91.64283661937142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20525.691</v>
      </c>
      <c r="D10" s="11">
        <v>18533.343</v>
      </c>
      <c r="E10" s="20">
        <f t="shared" si="0"/>
        <v>55.57355764728587</v>
      </c>
      <c r="F10" s="20">
        <f t="shared" si="1"/>
        <v>90.29339377660904</v>
      </c>
      <c r="G10" s="66"/>
    </row>
    <row r="11" spans="1:7" s="3" customFormat="1" ht="15">
      <c r="A11" s="12" t="s">
        <v>31</v>
      </c>
      <c r="B11" s="11">
        <v>78527.174</v>
      </c>
      <c r="C11" s="11">
        <v>48334.445</v>
      </c>
      <c r="D11" s="11">
        <f>38758.075+5.236</f>
        <v>38763.310999999994</v>
      </c>
      <c r="E11" s="20">
        <f t="shared" si="0"/>
        <v>49.362926265498864</v>
      </c>
      <c r="F11" s="20">
        <f t="shared" si="1"/>
        <v>80.198109236591</v>
      </c>
      <c r="G11" s="66"/>
    </row>
    <row r="12" spans="1:7" s="3" customFormat="1" ht="15">
      <c r="A12" s="12" t="s">
        <v>13</v>
      </c>
      <c r="B12" s="11">
        <f>SUM(B6)-B7-B8-B9-B10-B11</f>
        <v>23926.070000000007</v>
      </c>
      <c r="C12" s="11">
        <f>SUM(C6)-C7-C8-C9-C10-C11</f>
        <v>19459.42900000001</v>
      </c>
      <c r="D12" s="11">
        <f>SUM(D6)-D7-D8-D9-D10-D11</f>
        <v>15925.90800000001</v>
      </c>
      <c r="E12" s="20">
        <f t="shared" si="0"/>
        <v>66.56299174916735</v>
      </c>
      <c r="F12" s="20">
        <f t="shared" si="1"/>
        <v>81.8415997715041</v>
      </c>
      <c r="G12" s="66"/>
    </row>
    <row r="13" spans="1:7" s="3" customFormat="1" ht="15">
      <c r="A13" s="30" t="s">
        <v>14</v>
      </c>
      <c r="B13" s="58">
        <f>16516.755+17001.334</f>
        <v>33518.089</v>
      </c>
      <c r="C13" s="25">
        <f>13129.654+12698.347</f>
        <v>25828.001</v>
      </c>
      <c r="D13" s="25">
        <f>18467.166+312.6</f>
        <v>18779.766</v>
      </c>
      <c r="E13" s="20">
        <f t="shared" si="0"/>
        <v>56.02874913304275</v>
      </c>
      <c r="F13" s="20">
        <f t="shared" si="1"/>
        <v>72.71087685028354</v>
      </c>
      <c r="G13" s="66"/>
    </row>
    <row r="14" spans="1:7" s="2" customFormat="1" ht="14.25">
      <c r="A14" s="17" t="s">
        <v>6</v>
      </c>
      <c r="B14" s="18">
        <f>B15+B22</f>
        <v>363050.25</v>
      </c>
      <c r="C14" s="18">
        <f>C15+C22</f>
        <v>272602.015</v>
      </c>
      <c r="D14" s="18">
        <f>D15+D22</f>
        <v>256087.658</v>
      </c>
      <c r="E14" s="19">
        <f t="shared" si="0"/>
        <v>70.53779965720999</v>
      </c>
      <c r="F14" s="19">
        <f t="shared" si="1"/>
        <v>93.94195343713801</v>
      </c>
      <c r="G14" s="67"/>
    </row>
    <row r="15" spans="1:7" s="14" customFormat="1" ht="15">
      <c r="A15" s="30" t="s">
        <v>33</v>
      </c>
      <c r="B15" s="25">
        <f>317696.477+25068</f>
        <v>342764.477</v>
      </c>
      <c r="C15" s="25">
        <f>234384.273+18831.969</f>
        <v>253216.242</v>
      </c>
      <c r="D15" s="25">
        <f>222981.914+883.747+18831.969</f>
        <v>242697.63</v>
      </c>
      <c r="E15" s="20">
        <f>SUM(D15)/B15*100</f>
        <v>70.80594585651885</v>
      </c>
      <c r="F15" s="20">
        <f>SUM(D15)/C15*100</f>
        <v>95.845996324359</v>
      </c>
      <c r="G15" s="68"/>
    </row>
    <row r="16" spans="1:7" s="3" customFormat="1" ht="15">
      <c r="A16" s="12" t="s">
        <v>1</v>
      </c>
      <c r="B16" s="11">
        <v>132887.651</v>
      </c>
      <c r="C16" s="11">
        <v>98940.622</v>
      </c>
      <c r="D16" s="11">
        <f>97597.484+42.494</f>
        <v>97639.978</v>
      </c>
      <c r="E16" s="20">
        <f t="shared" si="0"/>
        <v>73.47558427381638</v>
      </c>
      <c r="F16" s="20">
        <f t="shared" si="1"/>
        <v>98.68542973178398</v>
      </c>
      <c r="G16" s="66"/>
    </row>
    <row r="17" spans="1:7" s="3" customFormat="1" ht="15">
      <c r="A17" s="12" t="s">
        <v>29</v>
      </c>
      <c r="B17" s="11">
        <v>47467.288</v>
      </c>
      <c r="C17" s="11">
        <v>35648.164</v>
      </c>
      <c r="D17" s="11">
        <v>34668.841</v>
      </c>
      <c r="E17" s="20">
        <f t="shared" si="0"/>
        <v>73.03733257311856</v>
      </c>
      <c r="F17" s="20">
        <f t="shared" si="1"/>
        <v>97.25280942940007</v>
      </c>
      <c r="G17" s="66"/>
    </row>
    <row r="18" spans="1:7" s="3" customFormat="1" ht="15">
      <c r="A18" s="12" t="s">
        <v>4</v>
      </c>
      <c r="B18" s="58">
        <v>11580.27</v>
      </c>
      <c r="C18" s="11">
        <v>9450.709</v>
      </c>
      <c r="D18" s="11">
        <f>8475.768+110.962</f>
        <v>8586.73</v>
      </c>
      <c r="E18" s="20">
        <f t="shared" si="0"/>
        <v>74.14965281465803</v>
      </c>
      <c r="F18" s="20">
        <f t="shared" si="1"/>
        <v>90.85805096739301</v>
      </c>
      <c r="G18" s="66"/>
    </row>
    <row r="19" spans="1:7" s="3" customFormat="1" ht="15">
      <c r="A19" s="12" t="s">
        <v>5</v>
      </c>
      <c r="B19" s="11">
        <v>4056.884</v>
      </c>
      <c r="C19" s="11">
        <v>3113.037</v>
      </c>
      <c r="D19" s="11">
        <f>2921.785+39.752</f>
        <v>2961.537</v>
      </c>
      <c r="E19" s="20">
        <f t="shared" si="0"/>
        <v>73.00028790569313</v>
      </c>
      <c r="F19" s="20">
        <f t="shared" si="1"/>
        <v>95.13336976078344</v>
      </c>
      <c r="G19" s="66"/>
    </row>
    <row r="20" spans="1:7" s="3" customFormat="1" ht="15">
      <c r="A20" s="12" t="s">
        <v>31</v>
      </c>
      <c r="B20" s="11">
        <v>30224.41</v>
      </c>
      <c r="C20" s="11">
        <v>20047.765</v>
      </c>
      <c r="D20" s="11">
        <f>16744.747+127.978</f>
        <v>16872.725</v>
      </c>
      <c r="E20" s="20">
        <f t="shared" si="0"/>
        <v>55.82482834238947</v>
      </c>
      <c r="F20" s="20">
        <f t="shared" si="1"/>
        <v>84.1626236141535</v>
      </c>
      <c r="G20" s="66"/>
    </row>
    <row r="21" spans="1:7" s="3" customFormat="1" ht="15">
      <c r="A21" s="56" t="s">
        <v>13</v>
      </c>
      <c r="B21" s="11">
        <f>SUM(B15)-B16-B17-B18-B19-B20</f>
        <v>116547.97400000002</v>
      </c>
      <c r="C21" s="11">
        <f>SUM(C15)-C16-C17-C18-C19-C20</f>
        <v>86015.945</v>
      </c>
      <c r="D21" s="11">
        <f>SUM(D15)-D16-D17-D18-D19-D20</f>
        <v>81967.81900000002</v>
      </c>
      <c r="E21" s="20">
        <f t="shared" si="0"/>
        <v>70.32968157816283</v>
      </c>
      <c r="F21" s="20">
        <f t="shared" si="1"/>
        <v>95.2937493158972</v>
      </c>
      <c r="G21" s="66"/>
    </row>
    <row r="22" spans="1:7" s="3" customFormat="1" ht="15">
      <c r="A22" s="57" t="s">
        <v>14</v>
      </c>
      <c r="B22" s="25">
        <f>11416.945+8868.828</f>
        <v>20285.773</v>
      </c>
      <c r="C22" s="25">
        <f>10516.945+8868.828</f>
        <v>19385.773</v>
      </c>
      <c r="D22" s="25">
        <v>13390.028</v>
      </c>
      <c r="E22" s="20">
        <f t="shared" si="0"/>
        <v>66.00698923329172</v>
      </c>
      <c r="F22" s="20">
        <f t="shared" si="1"/>
        <v>69.07141644545203</v>
      </c>
      <c r="G22" s="66"/>
    </row>
    <row r="23" spans="1:7" s="2" customFormat="1" ht="28.5">
      <c r="A23" s="17" t="s">
        <v>28</v>
      </c>
      <c r="B23" s="18">
        <f>B24+B34</f>
        <v>662358.562</v>
      </c>
      <c r="C23" s="18">
        <f>C24+C34</f>
        <v>402610.35599999997</v>
      </c>
      <c r="D23" s="18">
        <f>D24+D34</f>
        <v>392220.26499999996</v>
      </c>
      <c r="E23" s="19">
        <f t="shared" si="0"/>
        <v>59.21570090612038</v>
      </c>
      <c r="F23" s="19">
        <f t="shared" si="1"/>
        <v>97.41931849363556</v>
      </c>
      <c r="G23" s="67"/>
    </row>
    <row r="24" spans="1:7" s="14" customFormat="1" ht="15">
      <c r="A24" s="30" t="s">
        <v>33</v>
      </c>
      <c r="B24" s="25">
        <v>659174.234</v>
      </c>
      <c r="C24" s="25">
        <v>402227.459</v>
      </c>
      <c r="D24" s="25">
        <f>391951.434+13.16</f>
        <v>391964.594</v>
      </c>
      <c r="E24" s="20">
        <f>SUM(D24)/B24*100</f>
        <v>59.46297257729282</v>
      </c>
      <c r="F24" s="20">
        <f>SUM(D24)/C24*100</f>
        <v>97.44849219754536</v>
      </c>
      <c r="G24" s="68"/>
    </row>
    <row r="25" spans="1:7" s="3" customFormat="1" ht="15">
      <c r="A25" s="12" t="s">
        <v>1</v>
      </c>
      <c r="B25" s="11">
        <v>11580.045</v>
      </c>
      <c r="C25" s="11">
        <v>8078.96</v>
      </c>
      <c r="D25" s="11">
        <v>8028.425</v>
      </c>
      <c r="E25" s="20">
        <f t="shared" si="0"/>
        <v>69.3298255749438</v>
      </c>
      <c r="F25" s="20">
        <f t="shared" si="1"/>
        <v>99.37448632002139</v>
      </c>
      <c r="G25" s="66"/>
    </row>
    <row r="26" spans="1:7" s="3" customFormat="1" ht="15">
      <c r="A26" s="12" t="s">
        <v>29</v>
      </c>
      <c r="B26" s="11">
        <v>4163.178</v>
      </c>
      <c r="C26" s="11">
        <v>2904.25</v>
      </c>
      <c r="D26" s="11">
        <v>2890.527</v>
      </c>
      <c r="E26" s="20">
        <f t="shared" si="0"/>
        <v>69.4307810043193</v>
      </c>
      <c r="F26" s="20">
        <f t="shared" si="1"/>
        <v>99.52748558147543</v>
      </c>
      <c r="G26" s="66"/>
    </row>
    <row r="27" spans="1:7" s="3" customFormat="1" ht="15">
      <c r="A27" s="12" t="s">
        <v>4</v>
      </c>
      <c r="B27" s="11">
        <v>77.62</v>
      </c>
      <c r="C27" s="11">
        <v>73.9</v>
      </c>
      <c r="D27" s="11">
        <v>67.28</v>
      </c>
      <c r="E27" s="20">
        <f t="shared" si="0"/>
        <v>86.6786910590054</v>
      </c>
      <c r="F27" s="20">
        <f t="shared" si="1"/>
        <v>91.04194857916103</v>
      </c>
      <c r="G27" s="66"/>
    </row>
    <row r="28" spans="1:7" s="3" customFormat="1" ht="15">
      <c r="A28" s="12" t="s">
        <v>5</v>
      </c>
      <c r="B28" s="11">
        <v>138.829</v>
      </c>
      <c r="C28" s="11">
        <v>113.42</v>
      </c>
      <c r="D28" s="11">
        <v>113.42</v>
      </c>
      <c r="E28" s="20">
        <f t="shared" si="0"/>
        <v>81.69762801720101</v>
      </c>
      <c r="F28" s="20">
        <f t="shared" si="1"/>
        <v>100</v>
      </c>
      <c r="G28" s="66"/>
    </row>
    <row r="29" spans="1:7" s="3" customFormat="1" ht="15">
      <c r="A29" s="12" t="s">
        <v>31</v>
      </c>
      <c r="B29" s="11">
        <v>1150.295</v>
      </c>
      <c r="C29" s="11">
        <v>712.204</v>
      </c>
      <c r="D29" s="11">
        <v>652.941</v>
      </c>
      <c r="E29" s="20">
        <f t="shared" si="0"/>
        <v>56.762917338595756</v>
      </c>
      <c r="F29" s="20">
        <f t="shared" si="1"/>
        <v>91.6789290708842</v>
      </c>
      <c r="G29" s="66"/>
    </row>
    <row r="30" spans="1:7" s="3" customFormat="1" ht="15">
      <c r="A30" s="12" t="s">
        <v>13</v>
      </c>
      <c r="B30" s="11">
        <f>SUM(B24)-B25-B26-B27-B28-B29</f>
        <v>642064.267</v>
      </c>
      <c r="C30" s="11">
        <f>SUM(C24)-C25-C26-C27-C28-C29</f>
        <v>390344.7249999999</v>
      </c>
      <c r="D30" s="11">
        <f>SUM(D24)-D25-D26-D27-D28-D29</f>
        <v>380212.001</v>
      </c>
      <c r="E30" s="20">
        <f t="shared" si="0"/>
        <v>59.21712522276216</v>
      </c>
      <c r="F30" s="20">
        <f t="shared" si="1"/>
        <v>97.40416013051029</v>
      </c>
      <c r="G30" s="66"/>
    </row>
    <row r="31" spans="1:7" s="3" customFormat="1" ht="15">
      <c r="A31" s="12" t="s">
        <v>20</v>
      </c>
      <c r="B31" s="11">
        <f>SUM(B32:B33)</f>
        <v>627256.23</v>
      </c>
      <c r="C31" s="11">
        <f>SUM(C32:C33)</f>
        <v>377642.761</v>
      </c>
      <c r="D31" s="11">
        <f>SUM(D32:D33)</f>
        <v>369010.96</v>
      </c>
      <c r="E31" s="20">
        <f>SUM(D31)/B31*100</f>
        <v>58.82938141562979</v>
      </c>
      <c r="F31" s="20">
        <f>SUM(D31)/C31*100</f>
        <v>97.71429459493864</v>
      </c>
      <c r="G31" s="66"/>
    </row>
    <row r="32" spans="1:7" s="3" customFormat="1" ht="30">
      <c r="A32" s="13" t="s">
        <v>24</v>
      </c>
      <c r="B32" s="11">
        <v>393644.2</v>
      </c>
      <c r="C32" s="11">
        <v>298446.423</v>
      </c>
      <c r="D32" s="11">
        <v>298446.423</v>
      </c>
      <c r="E32" s="20">
        <f>SUM(D32)/B32*100</f>
        <v>75.81628866880294</v>
      </c>
      <c r="F32" s="20">
        <f>SUM(D32)/C32*100</f>
        <v>100</v>
      </c>
      <c r="G32" s="66"/>
    </row>
    <row r="33" spans="1:7" s="3" customFormat="1" ht="15">
      <c r="A33" s="13" t="s">
        <v>21</v>
      </c>
      <c r="B33" s="11">
        <v>233612.03</v>
      </c>
      <c r="C33" s="11">
        <v>79196.338</v>
      </c>
      <c r="D33" s="11">
        <v>70564.537</v>
      </c>
      <c r="E33" s="20">
        <f>SUM(D33)/B33*100</f>
        <v>30.20586611057658</v>
      </c>
      <c r="F33" s="20">
        <f>SUM(D33)/C33*100</f>
        <v>89.10075741128333</v>
      </c>
      <c r="G33" s="66"/>
    </row>
    <row r="34" spans="1:7" s="3" customFormat="1" ht="15">
      <c r="A34" s="30" t="s">
        <v>14</v>
      </c>
      <c r="B34" s="25">
        <f>2396.328+788</f>
        <v>3184.328</v>
      </c>
      <c r="C34" s="25">
        <f>708-325.103</f>
        <v>382.897</v>
      </c>
      <c r="D34" s="25">
        <v>255.671</v>
      </c>
      <c r="E34" s="20">
        <f>SUM(D34)/B34*100</f>
        <v>8.02904097819069</v>
      </c>
      <c r="F34" s="20">
        <f>SUM(D34)/C34*100</f>
        <v>66.77278745981296</v>
      </c>
      <c r="G34" s="66"/>
    </row>
    <row r="35" spans="1:7" s="3" customFormat="1" ht="15">
      <c r="A35" s="12" t="s">
        <v>68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  <c r="G35" s="66"/>
    </row>
    <row r="36" spans="1:7" s="2" customFormat="1" ht="14.25">
      <c r="A36" s="17" t="s">
        <v>7</v>
      </c>
      <c r="B36" s="18">
        <f>B37+B42</f>
        <v>96866.24799999999</v>
      </c>
      <c r="C36" s="18">
        <f>C37+C42</f>
        <v>67172.789</v>
      </c>
      <c r="D36" s="18">
        <f>D37+D42</f>
        <v>58419.167</v>
      </c>
      <c r="E36" s="19">
        <f t="shared" si="0"/>
        <v>60.309104777135595</v>
      </c>
      <c r="F36" s="19">
        <f t="shared" si="1"/>
        <v>86.96849999781905</v>
      </c>
      <c r="G36" s="67"/>
    </row>
    <row r="37" spans="1:7" s="14" customFormat="1" ht="15">
      <c r="A37" s="30" t="s">
        <v>33</v>
      </c>
      <c r="B37" s="25">
        <v>77949.817</v>
      </c>
      <c r="C37" s="25">
        <v>53956.23</v>
      </c>
      <c r="D37" s="25">
        <f>51262.913+8.203</f>
        <v>51271.116</v>
      </c>
      <c r="E37" s="20">
        <f>SUM(D37)/B37*100</f>
        <v>65.77451746936109</v>
      </c>
      <c r="F37" s="20">
        <f>SUM(D37)/C37*100</f>
        <v>95.02353296366333</v>
      </c>
      <c r="G37" s="68"/>
    </row>
    <row r="38" spans="1:7" s="3" customFormat="1" ht="15">
      <c r="A38" s="12" t="s">
        <v>1</v>
      </c>
      <c r="B38" s="11">
        <v>33097.391</v>
      </c>
      <c r="C38" s="11">
        <v>24365.522</v>
      </c>
      <c r="D38" s="11">
        <v>23276.608</v>
      </c>
      <c r="E38" s="20">
        <f t="shared" si="0"/>
        <v>70.32762189623949</v>
      </c>
      <c r="F38" s="20">
        <f t="shared" si="1"/>
        <v>95.53092275223982</v>
      </c>
      <c r="G38" s="66"/>
    </row>
    <row r="39" spans="1:7" s="3" customFormat="1" ht="15">
      <c r="A39" s="12" t="s">
        <v>29</v>
      </c>
      <c r="B39" s="11">
        <v>12086.354</v>
      </c>
      <c r="C39" s="11">
        <v>8963.047</v>
      </c>
      <c r="D39" s="11">
        <v>8499.674</v>
      </c>
      <c r="E39" s="20">
        <f t="shared" si="0"/>
        <v>70.32454948779426</v>
      </c>
      <c r="F39" s="20">
        <f t="shared" si="1"/>
        <v>94.83018442277499</v>
      </c>
      <c r="G39" s="66"/>
    </row>
    <row r="40" spans="1:7" s="3" customFormat="1" ht="15">
      <c r="A40" s="12" t="s">
        <v>31</v>
      </c>
      <c r="B40" s="11">
        <v>5631.026</v>
      </c>
      <c r="C40" s="11">
        <v>3048.594</v>
      </c>
      <c r="D40" s="11">
        <v>3004.429</v>
      </c>
      <c r="E40" s="20">
        <f t="shared" si="0"/>
        <v>53.354912586089995</v>
      </c>
      <c r="F40" s="20">
        <f t="shared" si="1"/>
        <v>98.55129938588084</v>
      </c>
      <c r="G40" s="66"/>
    </row>
    <row r="41" spans="1:7" s="3" customFormat="1" ht="15">
      <c r="A41" s="12" t="s">
        <v>13</v>
      </c>
      <c r="B41" s="11">
        <f>SUM(B37)-B38-B39-B40</f>
        <v>27135.045999999995</v>
      </c>
      <c r="C41" s="11">
        <f>SUM(C37)-C38-C39-C40</f>
        <v>17579.067</v>
      </c>
      <c r="D41" s="11">
        <f>SUM(D37)-D38-D39-D40</f>
        <v>16490.405000000002</v>
      </c>
      <c r="E41" s="20">
        <f t="shared" si="0"/>
        <v>60.771612474878445</v>
      </c>
      <c r="F41" s="20">
        <f t="shared" si="1"/>
        <v>93.80705472025338</v>
      </c>
      <c r="G41" s="66"/>
    </row>
    <row r="42" spans="1:7" s="3" customFormat="1" ht="15">
      <c r="A42" s="30" t="s">
        <v>14</v>
      </c>
      <c r="B42" s="25">
        <f>8951+9965.431</f>
        <v>18916.431</v>
      </c>
      <c r="C42" s="25">
        <f>7566.559+5650</f>
        <v>13216.559000000001</v>
      </c>
      <c r="D42" s="25">
        <v>7148.051</v>
      </c>
      <c r="E42" s="20">
        <f t="shared" si="0"/>
        <v>37.787524507133504</v>
      </c>
      <c r="F42" s="20">
        <f t="shared" si="1"/>
        <v>54.0840547074318</v>
      </c>
      <c r="G42" s="66"/>
    </row>
    <row r="43" spans="1:7" s="2" customFormat="1" ht="14.25">
      <c r="A43" s="17" t="s">
        <v>8</v>
      </c>
      <c r="B43" s="18">
        <f>B44+B49</f>
        <v>45856.041</v>
      </c>
      <c r="C43" s="18">
        <f>C44+C49</f>
        <v>33004.525</v>
      </c>
      <c r="D43" s="18">
        <f>D44+D49</f>
        <v>30038.402000000002</v>
      </c>
      <c r="E43" s="19">
        <f t="shared" si="0"/>
        <v>65.50587740446238</v>
      </c>
      <c r="F43" s="19">
        <f t="shared" si="1"/>
        <v>91.01298079581512</v>
      </c>
      <c r="G43" s="67"/>
    </row>
    <row r="44" spans="1:7" s="14" customFormat="1" ht="15">
      <c r="A44" s="30" t="s">
        <v>33</v>
      </c>
      <c r="B44" s="25">
        <v>40340.364</v>
      </c>
      <c r="C44" s="25">
        <v>28561.964</v>
      </c>
      <c r="D44" s="25">
        <f>27276.042+44.007</f>
        <v>27320.049000000003</v>
      </c>
      <c r="E44" s="20">
        <f>SUM(D44)/B44*100</f>
        <v>67.72385345853597</v>
      </c>
      <c r="F44" s="20">
        <f>SUM(D44)/C44*100</f>
        <v>95.65185713419429</v>
      </c>
      <c r="G44" s="68"/>
    </row>
    <row r="45" spans="1:7" s="3" customFormat="1" ht="15">
      <c r="A45" s="12" t="s">
        <v>1</v>
      </c>
      <c r="B45" s="11">
        <v>20371.66</v>
      </c>
      <c r="C45" s="11">
        <v>14449.278</v>
      </c>
      <c r="D45" s="11">
        <v>14049.472</v>
      </c>
      <c r="E45" s="20">
        <f t="shared" si="0"/>
        <v>68.96576911258092</v>
      </c>
      <c r="F45" s="20">
        <f t="shared" si="1"/>
        <v>97.23303821824176</v>
      </c>
      <c r="G45" s="66"/>
    </row>
    <row r="46" spans="1:7" s="3" customFormat="1" ht="15">
      <c r="A46" s="12" t="s">
        <v>29</v>
      </c>
      <c r="B46" s="11">
        <v>7318.765</v>
      </c>
      <c r="C46" s="11">
        <v>5190.711</v>
      </c>
      <c r="D46" s="11">
        <v>5057.314</v>
      </c>
      <c r="E46" s="20">
        <f t="shared" si="0"/>
        <v>69.10064744529986</v>
      </c>
      <c r="F46" s="20">
        <f t="shared" si="1"/>
        <v>97.43008231434962</v>
      </c>
      <c r="G46" s="66"/>
    </row>
    <row r="47" spans="1:7" s="3" customFormat="1" ht="15">
      <c r="A47" s="12" t="s">
        <v>31</v>
      </c>
      <c r="B47" s="11">
        <v>3303.442</v>
      </c>
      <c r="C47" s="11">
        <v>1913.203</v>
      </c>
      <c r="D47" s="11">
        <f>1714.528+10.629</f>
        <v>1725.157</v>
      </c>
      <c r="E47" s="20">
        <f t="shared" si="0"/>
        <v>52.22301466167713</v>
      </c>
      <c r="F47" s="20">
        <f t="shared" si="1"/>
        <v>90.17114231997337</v>
      </c>
      <c r="G47" s="66"/>
    </row>
    <row r="48" spans="1:7" s="3" customFormat="1" ht="15">
      <c r="A48" s="12" t="s">
        <v>13</v>
      </c>
      <c r="B48" s="11">
        <f>SUM(B44)-B45-B46-B47</f>
        <v>9346.497000000003</v>
      </c>
      <c r="C48" s="11">
        <f>SUM(C44)-C45-C46-C47</f>
        <v>7008.771999999999</v>
      </c>
      <c r="D48" s="11">
        <f>SUM(D44)-D45-D46-D47</f>
        <v>6488.1060000000025</v>
      </c>
      <c r="E48" s="20">
        <f t="shared" si="0"/>
        <v>69.41751546060519</v>
      </c>
      <c r="F48" s="20">
        <f t="shared" si="1"/>
        <v>92.57122360379255</v>
      </c>
      <c r="G48" s="66"/>
    </row>
    <row r="49" spans="1:7" s="3" customFormat="1" ht="15">
      <c r="A49" s="30" t="s">
        <v>14</v>
      </c>
      <c r="B49" s="25">
        <f>2828.9+2686.777</f>
        <v>5515.677</v>
      </c>
      <c r="C49" s="25">
        <f>1763.661+2678.9</f>
        <v>4442.561</v>
      </c>
      <c r="D49" s="25">
        <v>2718.353</v>
      </c>
      <c r="E49" s="20">
        <f t="shared" si="0"/>
        <v>49.28412232986087</v>
      </c>
      <c r="F49" s="20">
        <f t="shared" si="1"/>
        <v>61.188872814577</v>
      </c>
      <c r="G49" s="66"/>
    </row>
    <row r="50" spans="1:7" s="3" customFormat="1" ht="14.25">
      <c r="A50" s="17" t="s">
        <v>0</v>
      </c>
      <c r="B50" s="18">
        <f>B51+B56</f>
        <v>79201.18000000001</v>
      </c>
      <c r="C50" s="18">
        <f>C51+C56</f>
        <v>57003.795</v>
      </c>
      <c r="D50" s="18">
        <f>D51+D56</f>
        <v>54651.421</v>
      </c>
      <c r="E50" s="19">
        <f t="shared" si="0"/>
        <v>69.0032913651034</v>
      </c>
      <c r="F50" s="19">
        <f t="shared" si="1"/>
        <v>95.8733028213297</v>
      </c>
      <c r="G50" s="66"/>
    </row>
    <row r="51" spans="1:7" s="3" customFormat="1" ht="15">
      <c r="A51" s="30" t="s">
        <v>33</v>
      </c>
      <c r="B51" s="25">
        <v>74795.85</v>
      </c>
      <c r="C51" s="25">
        <v>54388.972</v>
      </c>
      <c r="D51" s="25">
        <v>52074.947</v>
      </c>
      <c r="E51" s="20">
        <f>SUM(D51)/B51*100</f>
        <v>69.62277586256457</v>
      </c>
      <c r="F51" s="20">
        <f>SUM(D51)/C51*100</f>
        <v>95.74541508157205</v>
      </c>
      <c r="G51" s="66"/>
    </row>
    <row r="52" spans="1:7" s="3" customFormat="1" ht="15">
      <c r="A52" s="12" t="s">
        <v>1</v>
      </c>
      <c r="B52" s="11">
        <v>41542.044</v>
      </c>
      <c r="C52" s="11">
        <v>29921.722</v>
      </c>
      <c r="D52" s="11">
        <v>29640.632</v>
      </c>
      <c r="E52" s="20">
        <f t="shared" si="0"/>
        <v>71.3509234162864</v>
      </c>
      <c r="F52" s="20">
        <f t="shared" si="1"/>
        <v>99.06058214162941</v>
      </c>
      <c r="G52" s="66"/>
    </row>
    <row r="53" spans="1:7" s="3" customFormat="1" ht="15">
      <c r="A53" s="12" t="s">
        <v>29</v>
      </c>
      <c r="B53" s="11">
        <v>15008.932</v>
      </c>
      <c r="C53" s="11">
        <v>10823.028</v>
      </c>
      <c r="D53" s="11">
        <v>10723.958</v>
      </c>
      <c r="E53" s="20">
        <f t="shared" si="0"/>
        <v>71.45050693813523</v>
      </c>
      <c r="F53" s="20">
        <f t="shared" si="1"/>
        <v>99.08463694263749</v>
      </c>
      <c r="G53" s="66"/>
    </row>
    <row r="54" spans="1:7" s="3" customFormat="1" ht="15">
      <c r="A54" s="12" t="s">
        <v>31</v>
      </c>
      <c r="B54" s="11">
        <v>4210.676</v>
      </c>
      <c r="C54" s="11">
        <v>2619.296</v>
      </c>
      <c r="D54" s="11">
        <v>2405.367</v>
      </c>
      <c r="E54" s="20">
        <f t="shared" si="0"/>
        <v>57.125435440770076</v>
      </c>
      <c r="F54" s="20">
        <f t="shared" si="1"/>
        <v>91.83257638693757</v>
      </c>
      <c r="G54" s="66"/>
    </row>
    <row r="55" spans="1:7" s="3" customFormat="1" ht="15">
      <c r="A55" s="12" t="s">
        <v>13</v>
      </c>
      <c r="B55" s="11">
        <f>SUM(B51)-B52-B53-B54</f>
        <v>14034.198000000004</v>
      </c>
      <c r="C55" s="11">
        <f>SUM(C51)-C52-C53-C54</f>
        <v>11024.926</v>
      </c>
      <c r="D55" s="11">
        <f>SUM(D51)-D52-D53-D54</f>
        <v>9304.989999999998</v>
      </c>
      <c r="E55" s="20">
        <f t="shared" si="0"/>
        <v>66.30225681581517</v>
      </c>
      <c r="F55" s="20">
        <f t="shared" si="1"/>
        <v>84.39956875901025</v>
      </c>
      <c r="G55" s="66"/>
    </row>
    <row r="56" spans="1:7" s="3" customFormat="1" ht="15">
      <c r="A56" s="30" t="s">
        <v>14</v>
      </c>
      <c r="B56" s="25">
        <f>200+4205.33</f>
        <v>4405.33</v>
      </c>
      <c r="C56" s="25">
        <f>200+2414.823</f>
        <v>2614.823</v>
      </c>
      <c r="D56" s="25">
        <v>2576.474</v>
      </c>
      <c r="E56" s="20">
        <f t="shared" si="0"/>
        <v>58.48538020988212</v>
      </c>
      <c r="F56" s="20">
        <f t="shared" si="1"/>
        <v>98.5333997750517</v>
      </c>
      <c r="G56" s="66"/>
    </row>
    <row r="57" spans="1:7" s="3" customFormat="1" ht="14.25" customHeight="1">
      <c r="A57" s="21" t="s">
        <v>9</v>
      </c>
      <c r="B57" s="22">
        <f>B58+B63</f>
        <v>294187.634</v>
      </c>
      <c r="C57" s="22">
        <f>C58+C63</f>
        <v>231933.451</v>
      </c>
      <c r="D57" s="22">
        <f>D58+D63</f>
        <v>167119.994</v>
      </c>
      <c r="E57" s="19">
        <f t="shared" si="0"/>
        <v>56.80728034952006</v>
      </c>
      <c r="F57" s="19">
        <f t="shared" si="1"/>
        <v>72.05514912982518</v>
      </c>
      <c r="G57" s="66"/>
    </row>
    <row r="58" spans="1:7" s="3" customFormat="1" ht="14.25" customHeight="1">
      <c r="A58" s="30" t="s">
        <v>33</v>
      </c>
      <c r="B58" s="25">
        <f>158562.628+35861.8</f>
        <v>194424.428</v>
      </c>
      <c r="C58" s="25">
        <f>118020.795+20445.9</f>
        <v>138466.695</v>
      </c>
      <c r="D58" s="25">
        <f>101765.134+1332.498+10791.202</f>
        <v>113888.83400000002</v>
      </c>
      <c r="E58" s="20">
        <f>SUM(D58)/B58*100</f>
        <v>58.57743040396139</v>
      </c>
      <c r="F58" s="20">
        <f>SUM(D58)/C58*100</f>
        <v>82.24998365130331</v>
      </c>
      <c r="G58" s="66"/>
    </row>
    <row r="59" spans="1:7" s="3" customFormat="1" ht="15">
      <c r="A59" s="12" t="s">
        <v>1</v>
      </c>
      <c r="B59" s="11">
        <v>423.637</v>
      </c>
      <c r="C59" s="11">
        <v>341.296</v>
      </c>
      <c r="D59" s="11">
        <v>262.916</v>
      </c>
      <c r="E59" s="20">
        <f t="shared" si="0"/>
        <v>62.061623512582706</v>
      </c>
      <c r="F59" s="20">
        <f t="shared" si="1"/>
        <v>77.0345975341053</v>
      </c>
      <c r="G59" s="66"/>
    </row>
    <row r="60" spans="1:7" s="3" customFormat="1" ht="15">
      <c r="A60" s="12" t="s">
        <v>29</v>
      </c>
      <c r="B60" s="11">
        <v>153.961</v>
      </c>
      <c r="C60" s="11">
        <v>123.661</v>
      </c>
      <c r="D60" s="11">
        <v>92.484</v>
      </c>
      <c r="E60" s="20">
        <f t="shared" si="0"/>
        <v>60.06975792570846</v>
      </c>
      <c r="F60" s="20">
        <f t="shared" si="1"/>
        <v>74.78833261901488</v>
      </c>
      <c r="G60" s="66"/>
    </row>
    <row r="61" spans="1:7" s="3" customFormat="1" ht="15">
      <c r="A61" s="12" t="s">
        <v>31</v>
      </c>
      <c r="B61" s="11">
        <v>15891.008</v>
      </c>
      <c r="C61" s="11">
        <v>10672.258</v>
      </c>
      <c r="D61" s="11">
        <f>9781.519+303.294</f>
        <v>10084.813</v>
      </c>
      <c r="E61" s="20">
        <f t="shared" si="0"/>
        <v>63.46238703045144</v>
      </c>
      <c r="F61" s="20">
        <f t="shared" si="1"/>
        <v>94.49558846871956</v>
      </c>
      <c r="G61" s="66"/>
    </row>
    <row r="62" spans="1:7" s="3" customFormat="1" ht="15">
      <c r="A62" s="12" t="s">
        <v>13</v>
      </c>
      <c r="B62" s="11">
        <f>SUM(B58)-B59-B60-B61</f>
        <v>177955.82200000001</v>
      </c>
      <c r="C62" s="11">
        <f>SUM(C58)-C59-C60-C61</f>
        <v>127329.48000000001</v>
      </c>
      <c r="D62" s="11">
        <f>SUM(D58)-D59-D60-D61</f>
        <v>103448.62100000003</v>
      </c>
      <c r="E62" s="20">
        <f t="shared" si="0"/>
        <v>58.13163055716155</v>
      </c>
      <c r="F62" s="20">
        <f t="shared" si="1"/>
        <v>81.24483112630321</v>
      </c>
      <c r="G62" s="66"/>
    </row>
    <row r="63" spans="1:7" s="3" customFormat="1" ht="15">
      <c r="A63" s="30" t="s">
        <v>14</v>
      </c>
      <c r="B63" s="25">
        <f>61251.718-35861.8+74373.288</f>
        <v>99763.206</v>
      </c>
      <c r="C63" s="25">
        <f>44853.3-20445.9+69059.356</f>
        <v>93466.756</v>
      </c>
      <c r="D63" s="25">
        <f>52876.147+355.013</f>
        <v>53231.159999999996</v>
      </c>
      <c r="E63" s="20">
        <f t="shared" si="0"/>
        <v>53.35750737601595</v>
      </c>
      <c r="F63" s="20">
        <f t="shared" si="1"/>
        <v>56.95197124419297</v>
      </c>
      <c r="G63" s="66"/>
    </row>
    <row r="64" spans="1:7" s="3" customFormat="1" ht="17.25" customHeight="1">
      <c r="A64" s="21" t="s">
        <v>23</v>
      </c>
      <c r="B64" s="22">
        <f>SUM(B65)</f>
        <v>83300.756</v>
      </c>
      <c r="C64" s="22">
        <f>SUM(C65)</f>
        <v>62173.032</v>
      </c>
      <c r="D64" s="22">
        <f>SUM(D65)</f>
        <v>19398.359</v>
      </c>
      <c r="E64" s="19">
        <f t="shared" si="0"/>
        <v>23.28713439287394</v>
      </c>
      <c r="F64" s="19">
        <f t="shared" si="1"/>
        <v>31.20059996430607</v>
      </c>
      <c r="G64" s="66"/>
    </row>
    <row r="65" spans="1:7" s="3" customFormat="1" ht="15">
      <c r="A65" s="30" t="s">
        <v>14</v>
      </c>
      <c r="B65" s="25">
        <f>19538.959+63761.797</f>
        <v>83300.756</v>
      </c>
      <c r="C65" s="25">
        <f>9486.394+52686.638</f>
        <v>62173.032</v>
      </c>
      <c r="D65" s="25">
        <f>19109.291+289.068</f>
        <v>19398.359</v>
      </c>
      <c r="E65" s="20">
        <f t="shared" si="0"/>
        <v>23.28713439287394</v>
      </c>
      <c r="F65" s="20">
        <f t="shared" si="1"/>
        <v>31.20059996430607</v>
      </c>
      <c r="G65" s="66"/>
    </row>
    <row r="66" spans="1:7" s="3" customFormat="1" ht="15" customHeight="1">
      <c r="A66" s="23" t="s">
        <v>18</v>
      </c>
      <c r="B66" s="22">
        <f>SUM(B67:B68)</f>
        <v>152245.844</v>
      </c>
      <c r="C66" s="22">
        <f>SUM(C67:C68)</f>
        <v>127592.978</v>
      </c>
      <c r="D66" s="22">
        <f>SUM(D67:D68)</f>
        <v>103345.745</v>
      </c>
      <c r="E66" s="19">
        <f t="shared" si="0"/>
        <v>67.88083161074661</v>
      </c>
      <c r="F66" s="19">
        <f t="shared" si="1"/>
        <v>80.9964205083449</v>
      </c>
      <c r="G66" s="66"/>
    </row>
    <row r="67" spans="1:7" s="3" customFormat="1" ht="15">
      <c r="A67" s="30" t="s">
        <v>13</v>
      </c>
      <c r="B67" s="25">
        <v>59582.369</v>
      </c>
      <c r="C67" s="25">
        <v>50169.354</v>
      </c>
      <c r="D67" s="25">
        <v>46066.272</v>
      </c>
      <c r="E67" s="20">
        <f t="shared" si="0"/>
        <v>77.31527425504011</v>
      </c>
      <c r="F67" s="20">
        <f t="shared" si="1"/>
        <v>91.82153710809192</v>
      </c>
      <c r="G67" s="66"/>
    </row>
    <row r="68" spans="1:7" s="3" customFormat="1" ht="15">
      <c r="A68" s="30" t="s">
        <v>14</v>
      </c>
      <c r="B68" s="25">
        <f>40309.086+52354.389</f>
        <v>92663.475</v>
      </c>
      <c r="C68" s="25">
        <f>35131.168+42292.456</f>
        <v>77423.624</v>
      </c>
      <c r="D68" s="25">
        <v>57279.473</v>
      </c>
      <c r="E68" s="20">
        <f t="shared" si="0"/>
        <v>61.8145099781764</v>
      </c>
      <c r="F68" s="20">
        <f t="shared" si="1"/>
        <v>73.98190634941088</v>
      </c>
      <c r="G68" s="66"/>
    </row>
    <row r="69" spans="1:7" s="3" customFormat="1" ht="60.75" customHeight="1">
      <c r="A69" s="24" t="s">
        <v>22</v>
      </c>
      <c r="B69" s="22">
        <f>SUM(B70:B70)</f>
        <v>46206</v>
      </c>
      <c r="C69" s="22">
        <f>SUM(C70:C70)</f>
        <v>28972.15</v>
      </c>
      <c r="D69" s="22">
        <f>SUM(D70:D70)</f>
        <v>25426.9</v>
      </c>
      <c r="E69" s="19">
        <f t="shared" si="0"/>
        <v>55.02943340691685</v>
      </c>
      <c r="F69" s="19">
        <f t="shared" si="1"/>
        <v>87.76324849898954</v>
      </c>
      <c r="G69" s="66"/>
    </row>
    <row r="70" spans="1:7" s="3" customFormat="1" ht="15">
      <c r="A70" s="30" t="s">
        <v>14</v>
      </c>
      <c r="B70" s="25">
        <v>46206</v>
      </c>
      <c r="C70" s="25">
        <f>16102.15+12870</f>
        <v>28972.15</v>
      </c>
      <c r="D70" s="25">
        <v>25426.9</v>
      </c>
      <c r="E70" s="20">
        <f t="shared" si="0"/>
        <v>55.02943340691685</v>
      </c>
      <c r="F70" s="20">
        <f t="shared" si="1"/>
        <v>87.76324849898954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4164.364</v>
      </c>
      <c r="D71" s="18">
        <f>SUM(D72)+D75</f>
        <v>3851.375</v>
      </c>
      <c r="E71" s="19">
        <f t="shared" si="0"/>
        <v>56.565497084612325</v>
      </c>
      <c r="F71" s="19">
        <f t="shared" si="1"/>
        <v>92.48411041878184</v>
      </c>
      <c r="G71" s="66"/>
    </row>
    <row r="72" spans="1:7" s="3" customFormat="1" ht="15">
      <c r="A72" s="30" t="s">
        <v>33</v>
      </c>
      <c r="B72" s="25">
        <v>5036.657</v>
      </c>
      <c r="C72" s="25">
        <v>4092.321</v>
      </c>
      <c r="D72" s="25">
        <v>3851.375</v>
      </c>
      <c r="E72" s="20">
        <f>SUM(D72)/B72*100</f>
        <v>76.46689063797673</v>
      </c>
      <c r="F72" s="20">
        <f>SUM(D72)/C72*100</f>
        <v>94.11224095079541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SUM(B71)-B73</f>
        <v>6802.628000000001</v>
      </c>
      <c r="C74" s="11">
        <f>SUM(C71)-C73</f>
        <v>4159.692</v>
      </c>
      <c r="D74" s="11">
        <f>SUM(D71)-D73</f>
        <v>3849.885</v>
      </c>
      <c r="E74" s="20">
        <f aca="true" t="shared" si="2" ref="E74:E92">SUM(D74)/B74*100</f>
        <v>56.59408393344454</v>
      </c>
      <c r="F74" s="20">
        <f aca="true" t="shared" si="3" ref="F74:F92">SUM(D74)/C74*100</f>
        <v>92.55216491990272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v>72.043</v>
      </c>
      <c r="D75" s="25"/>
      <c r="E75" s="20">
        <f t="shared" si="2"/>
        <v>0</v>
      </c>
      <c r="F75" s="20">
        <f t="shared" si="3"/>
        <v>0</v>
      </c>
      <c r="G75" s="66"/>
    </row>
    <row r="76" spans="1:7" s="3" customFormat="1" ht="15">
      <c r="A76" s="23" t="s">
        <v>11</v>
      </c>
      <c r="B76" s="25">
        <v>2500</v>
      </c>
      <c r="C76" s="25">
        <v>400</v>
      </c>
      <c r="D76" s="25"/>
      <c r="E76" s="19">
        <f t="shared" si="2"/>
        <v>0</v>
      </c>
      <c r="F76" s="19"/>
      <c r="G76" s="66"/>
    </row>
    <row r="77" spans="1:7" s="3" customFormat="1" ht="15">
      <c r="A77" s="23" t="s">
        <v>12</v>
      </c>
      <c r="B77" s="25">
        <v>18418.4</v>
      </c>
      <c r="C77" s="25">
        <v>13814</v>
      </c>
      <c r="D77" s="25">
        <v>13302.4</v>
      </c>
      <c r="E77" s="19">
        <f t="shared" si="2"/>
        <v>72.22342874516787</v>
      </c>
      <c r="F77" s="19">
        <f t="shared" si="3"/>
        <v>96.29651078615896</v>
      </c>
      <c r="G77" s="66"/>
    </row>
    <row r="78" spans="1:7" s="2" customFormat="1" ht="14.25">
      <c r="A78" s="17" t="s">
        <v>19</v>
      </c>
      <c r="B78" s="18">
        <f>SUM(B79)+B83</f>
        <v>11199.349</v>
      </c>
      <c r="C78" s="18">
        <f>SUM(C79)+C83</f>
        <v>6826.817999999999</v>
      </c>
      <c r="D78" s="18">
        <f>SUM(D79)+D83</f>
        <v>4642.13357</v>
      </c>
      <c r="E78" s="19">
        <f t="shared" si="2"/>
        <v>41.45003044373382</v>
      </c>
      <c r="F78" s="19">
        <f t="shared" si="3"/>
        <v>67.99849607826077</v>
      </c>
      <c r="G78" s="67"/>
    </row>
    <row r="79" spans="1:7" s="2" customFormat="1" ht="15">
      <c r="A79" s="30" t="s">
        <v>33</v>
      </c>
      <c r="B79" s="25">
        <f>8440.456-571.501</f>
        <v>7868.955</v>
      </c>
      <c r="C79" s="25">
        <v>3736.424</v>
      </c>
      <c r="D79" s="25">
        <f>1673.88631+744.93026-565.125</f>
        <v>1853.69157</v>
      </c>
      <c r="E79" s="20">
        <f>SUM(D79)/B79*100</f>
        <v>23.55702339128893</v>
      </c>
      <c r="F79" s="20">
        <f>SUM(D79)/C79*100</f>
        <v>49.61138163120673</v>
      </c>
      <c r="G79" s="67"/>
    </row>
    <row r="80" spans="1:7" s="3" customFormat="1" ht="15">
      <c r="A80" s="12" t="s">
        <v>1</v>
      </c>
      <c r="B80" s="11">
        <v>98.3</v>
      </c>
      <c r="C80" s="11">
        <v>98.3</v>
      </c>
      <c r="D80" s="11">
        <v>77.317</v>
      </c>
      <c r="E80" s="20">
        <f t="shared" si="2"/>
        <v>78.65412004069175</v>
      </c>
      <c r="F80" s="20">
        <f t="shared" si="3"/>
        <v>78.65412004069175</v>
      </c>
      <c r="G80" s="66"/>
    </row>
    <row r="81" spans="1:7" s="3" customFormat="1" ht="15">
      <c r="A81" s="12" t="s">
        <v>29</v>
      </c>
      <c r="B81" s="11">
        <v>33.7</v>
      </c>
      <c r="C81" s="11">
        <v>33.7</v>
      </c>
      <c r="D81" s="11">
        <v>26.829</v>
      </c>
      <c r="E81" s="20">
        <f t="shared" si="2"/>
        <v>79.61127596439168</v>
      </c>
      <c r="F81" s="20">
        <f t="shared" si="3"/>
        <v>79.61127596439168</v>
      </c>
      <c r="G81" s="66"/>
    </row>
    <row r="82" spans="1:7" s="3" customFormat="1" ht="15">
      <c r="A82" s="12" t="s">
        <v>13</v>
      </c>
      <c r="B82" s="11">
        <f>SUM(B79)-B80-B81</f>
        <v>7736.955</v>
      </c>
      <c r="C82" s="11">
        <f>SUM(C79)-C80-C81</f>
        <v>3604.424</v>
      </c>
      <c r="D82" s="11">
        <f>SUM(D79)-D80-D81</f>
        <v>1749.54557</v>
      </c>
      <c r="E82" s="20">
        <f t="shared" si="2"/>
        <v>22.612844071084815</v>
      </c>
      <c r="F82" s="20">
        <f t="shared" si="3"/>
        <v>48.538839215364234</v>
      </c>
      <c r="G82" s="66"/>
    </row>
    <row r="83" spans="1:7" s="3" customFormat="1" ht="15">
      <c r="A83" s="30" t="s">
        <v>14</v>
      </c>
      <c r="B83" s="25">
        <v>3330.394</v>
      </c>
      <c r="C83" s="25">
        <v>3090.394</v>
      </c>
      <c r="D83" s="25">
        <v>2788.442</v>
      </c>
      <c r="E83" s="20">
        <f t="shared" si="2"/>
        <v>83.72709054844563</v>
      </c>
      <c r="F83" s="20">
        <f t="shared" si="3"/>
        <v>90.22933645353959</v>
      </c>
      <c r="G83" s="66"/>
    </row>
    <row r="84" spans="1:7" s="3" customFormat="1" ht="40.5">
      <c r="A84" s="26" t="s">
        <v>25</v>
      </c>
      <c r="B84" s="18">
        <f>2159.137+16186.092</f>
        <v>18345.229</v>
      </c>
      <c r="C84" s="18">
        <f>2159.137+11186.092</f>
        <v>13345.229000000001</v>
      </c>
      <c r="D84" s="18">
        <f>11186.092+1957.802</f>
        <v>13143.894</v>
      </c>
      <c r="E84" s="19">
        <f t="shared" si="2"/>
        <v>71.64747848064475</v>
      </c>
      <c r="F84" s="19">
        <f t="shared" si="3"/>
        <v>98.4913334945395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2465121.0769999996</v>
      </c>
      <c r="C85" s="28">
        <f>C5+C14+C23+C36+C43+C50+C57+C64+C66+C69+C71+C76+C77+C78+C84</f>
        <v>1744408.5089999998</v>
      </c>
      <c r="D85" s="28">
        <f>D5+D14+D23+D36+D43+D50+D57+D64+D66+D69+D71+D76+D77+D78+D84</f>
        <v>1536176.8865699999</v>
      </c>
      <c r="E85" s="19">
        <f t="shared" si="2"/>
        <v>62.316488261075385</v>
      </c>
      <c r="F85" s="19">
        <f t="shared" si="3"/>
        <v>88.06290949879792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2031414.3460000001</v>
      </c>
      <c r="C86" s="28">
        <f>C6+C15+C24+C37+C44+C51+C58+C67+C72+C79+C77</f>
        <v>1399594.6670000001</v>
      </c>
      <c r="D86" s="28">
        <f>D6+D15+D24+D37+D44+D51+D58+D67+D72+D79+D77</f>
        <v>1320040.3155699999</v>
      </c>
      <c r="E86" s="19">
        <f>SUM(D86)/B86*100</f>
        <v>64.98134258868721</v>
      </c>
      <c r="F86" s="19">
        <f>SUM(D86)/C86*100</f>
        <v>94.31590064568314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544521.2150000001</v>
      </c>
      <c r="C87" s="22">
        <f t="shared" si="4"/>
        <v>402903.64099999995</v>
      </c>
      <c r="D87" s="22">
        <f t="shared" si="4"/>
        <v>394440.93299999996</v>
      </c>
      <c r="E87" s="19">
        <f t="shared" si="2"/>
        <v>72.43812034026992</v>
      </c>
      <c r="F87" s="19">
        <f t="shared" si="3"/>
        <v>97.89957023495849</v>
      </c>
      <c r="G87" s="70"/>
    </row>
    <row r="88" spans="1:6" ht="15">
      <c r="A88" s="29" t="s">
        <v>30</v>
      </c>
      <c r="B88" s="22">
        <f t="shared" si="4"/>
        <v>196894.94400000005</v>
      </c>
      <c r="C88" s="22">
        <f t="shared" si="4"/>
        <v>145550.974</v>
      </c>
      <c r="D88" s="22">
        <f t="shared" si="4"/>
        <v>142953.90800000002</v>
      </c>
      <c r="E88" s="19">
        <f t="shared" si="2"/>
        <v>72.6041538171747</v>
      </c>
      <c r="F88" s="19">
        <f t="shared" si="3"/>
        <v>98.21570001998066</v>
      </c>
    </row>
    <row r="89" spans="1:6" ht="15">
      <c r="A89" s="29" t="s">
        <v>2</v>
      </c>
      <c r="B89" s="22">
        <f>B73+B11+B20+B29+B40+B47+B54+B61</f>
        <v>138944.103</v>
      </c>
      <c r="C89" s="22">
        <f>C73+C11+C20+C29+C40+C47+C54+C61</f>
        <v>87352.43699999999</v>
      </c>
      <c r="D89" s="22">
        <f>D73+D11+D20+D29+D40+D47+D54+D61</f>
        <v>73510.233</v>
      </c>
      <c r="E89" s="19">
        <f t="shared" si="2"/>
        <v>52.90633529081834</v>
      </c>
      <c r="F89" s="19">
        <f t="shared" si="3"/>
        <v>84.15361439772997</v>
      </c>
    </row>
    <row r="90" spans="1:6" ht="15">
      <c r="A90" s="29" t="s">
        <v>13</v>
      </c>
      <c r="B90" s="22">
        <f>B86-B87-B88-B89</f>
        <v>1151054.0839999998</v>
      </c>
      <c r="C90" s="22">
        <f>C86-C87-C88-C89</f>
        <v>763787.6150000001</v>
      </c>
      <c r="D90" s="22">
        <f>D86-D87-D88-D89</f>
        <v>709135.2415699998</v>
      </c>
      <c r="E90" s="19">
        <f t="shared" si="2"/>
        <v>61.60746496860524</v>
      </c>
      <c r="F90" s="19">
        <f t="shared" si="3"/>
        <v>92.84455883328243</v>
      </c>
    </row>
    <row r="91" spans="1:6" ht="15">
      <c r="A91" s="17" t="s">
        <v>14</v>
      </c>
      <c r="B91" s="18">
        <f>B13+B22+B42+B34+B56+B63+B65+B68+B70+B75+B83+B49</f>
        <v>412861.50200000004</v>
      </c>
      <c r="C91" s="18">
        <f>C13+C22+C42+C34+C56+C63+C65+C68+C70+C75+C83+C49</f>
        <v>331068.613</v>
      </c>
      <c r="D91" s="18">
        <f>D13+D22+D42+D34+D56+D63+D65+D68+D70+D75+D83+D49</f>
        <v>202992.677</v>
      </c>
      <c r="E91" s="19">
        <f t="shared" si="2"/>
        <v>49.16725730460574</v>
      </c>
      <c r="F91" s="19">
        <f t="shared" si="3"/>
        <v>61.31438288896326</v>
      </c>
    </row>
    <row r="92" spans="1:6" ht="15">
      <c r="A92" s="17" t="s">
        <v>26</v>
      </c>
      <c r="B92" s="18">
        <f>SUM(B84)</f>
        <v>18345.229</v>
      </c>
      <c r="C92" s="18">
        <f>SUM(C84)</f>
        <v>13345.229000000001</v>
      </c>
      <c r="D92" s="18">
        <f>SUM(D84)</f>
        <v>13143.894</v>
      </c>
      <c r="E92" s="19">
        <f t="shared" si="2"/>
        <v>71.64747848064475</v>
      </c>
      <c r="F92" s="19">
        <f t="shared" si="3"/>
        <v>98.4913334945395</v>
      </c>
    </row>
    <row r="93" spans="1:6" ht="15">
      <c r="A93" s="17" t="s">
        <v>32</v>
      </c>
      <c r="B93" s="18">
        <f>SUM(B76)</f>
        <v>2500</v>
      </c>
      <c r="C93" s="18">
        <f>SUM(C76)</f>
        <v>400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55">
      <selection activeCell="B5" sqref="B5:D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71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74</v>
      </c>
      <c r="D3" s="34" t="s">
        <v>76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584576.8840000001</v>
      </c>
      <c r="C5" s="18">
        <f>C6+C13</f>
        <v>422793.007</v>
      </c>
      <c r="D5" s="18">
        <f>D6+D13</f>
        <v>394529.173</v>
      </c>
      <c r="E5" s="19">
        <f>SUM(D5)/B5*100</f>
        <v>67.48969789917317</v>
      </c>
      <c r="F5" s="19">
        <f>SUM(D5)/C5*100</f>
        <v>93.31497126677878</v>
      </c>
      <c r="G5" s="38"/>
    </row>
    <row r="6" spans="1:6" s="41" customFormat="1" ht="15">
      <c r="A6" s="40" t="s">
        <v>39</v>
      </c>
      <c r="B6" s="55">
        <v>551058.795</v>
      </c>
      <c r="C6" s="25">
        <v>396965.006</v>
      </c>
      <c r="D6" s="25">
        <f>375653.985+95.422</f>
        <v>375749.407</v>
      </c>
      <c r="E6" s="20">
        <f>SUM(D6)/B6*100</f>
        <v>68.18680881411211</v>
      </c>
      <c r="F6" s="20">
        <f>SUM(D6)/C6*100</f>
        <v>94.65554931056064</v>
      </c>
    </row>
    <row r="7" spans="1:6" s="41" customFormat="1" ht="15">
      <c r="A7" s="42" t="s">
        <v>40</v>
      </c>
      <c r="B7" s="11">
        <v>304520.487</v>
      </c>
      <c r="C7" s="11">
        <v>226707.941</v>
      </c>
      <c r="D7" s="11">
        <v>221465.585</v>
      </c>
      <c r="E7" s="20">
        <f aca="true" t="shared" si="0" ref="E7:E73">SUM(D7)/B7*100</f>
        <v>72.72600513081406</v>
      </c>
      <c r="F7" s="20">
        <f aca="true" t="shared" si="1" ref="F7:F73">SUM(D7)/C7*100</f>
        <v>97.68761695030348</v>
      </c>
    </row>
    <row r="8" spans="1:6" s="41" customFormat="1" ht="15">
      <c r="A8" s="42" t="s">
        <v>41</v>
      </c>
      <c r="B8" s="11">
        <v>110662.766</v>
      </c>
      <c r="C8" s="11">
        <v>81864.413</v>
      </c>
      <c r="D8" s="11">
        <v>80994.281</v>
      </c>
      <c r="E8" s="20">
        <f t="shared" si="0"/>
        <v>73.19018304675305</v>
      </c>
      <c r="F8" s="20">
        <f t="shared" si="1"/>
        <v>98.93710591927166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f>66.723+0.256</f>
        <v>66.979</v>
      </c>
      <c r="E9" s="20">
        <f t="shared" si="0"/>
        <v>91.64283661937142</v>
      </c>
      <c r="F9" s="20"/>
    </row>
    <row r="10" spans="1:6" s="41" customFormat="1" ht="15">
      <c r="A10" s="42" t="s">
        <v>43</v>
      </c>
      <c r="B10" s="11">
        <v>33349.211</v>
      </c>
      <c r="C10" s="11">
        <v>20525.691</v>
      </c>
      <c r="D10" s="11">
        <v>18533.343</v>
      </c>
      <c r="E10" s="20">
        <f t="shared" si="0"/>
        <v>55.57355764728587</v>
      </c>
      <c r="F10" s="20">
        <f t="shared" si="1"/>
        <v>90.29339377660904</v>
      </c>
    </row>
    <row r="11" spans="1:6" s="41" customFormat="1" ht="30">
      <c r="A11" s="42" t="s">
        <v>44</v>
      </c>
      <c r="B11" s="11">
        <v>78527.174</v>
      </c>
      <c r="C11" s="11">
        <v>48334.445</v>
      </c>
      <c r="D11" s="11">
        <f>38758.075+5.236</f>
        <v>38763.310999999994</v>
      </c>
      <c r="E11" s="20">
        <f t="shared" si="0"/>
        <v>49.362926265498864</v>
      </c>
      <c r="F11" s="20">
        <f t="shared" si="1"/>
        <v>80.198109236591</v>
      </c>
    </row>
    <row r="12" spans="1:6" s="41" customFormat="1" ht="15">
      <c r="A12" s="42" t="s">
        <v>45</v>
      </c>
      <c r="B12" s="11">
        <f>SUM(B6)-B7-B8-B9-B10-B11</f>
        <v>23926.070000000007</v>
      </c>
      <c r="C12" s="11">
        <f>SUM(C6)-C7-C8-C9-C10-C11</f>
        <v>19459.42900000001</v>
      </c>
      <c r="D12" s="11">
        <f>SUM(D6)-D7-D8-D9-D10-D11</f>
        <v>15925.90800000001</v>
      </c>
      <c r="E12" s="20">
        <f t="shared" si="0"/>
        <v>66.56299174916735</v>
      </c>
      <c r="F12" s="20">
        <f t="shared" si="1"/>
        <v>81.8415997715041</v>
      </c>
    </row>
    <row r="13" spans="1:6" s="41" customFormat="1" ht="15">
      <c r="A13" s="40" t="s">
        <v>46</v>
      </c>
      <c r="B13" s="58">
        <f>16516.755+17001.334</f>
        <v>33518.089</v>
      </c>
      <c r="C13" s="25">
        <f>13129.654+12698.347</f>
        <v>25828.001</v>
      </c>
      <c r="D13" s="25">
        <f>18467.166+312.6</f>
        <v>18779.766</v>
      </c>
      <c r="E13" s="20">
        <f t="shared" si="0"/>
        <v>56.02874913304275</v>
      </c>
      <c r="F13" s="20">
        <f t="shared" si="1"/>
        <v>72.71087685028354</v>
      </c>
    </row>
    <row r="14" spans="1:6" s="39" customFormat="1" ht="14.25">
      <c r="A14" s="37" t="s">
        <v>47</v>
      </c>
      <c r="B14" s="18">
        <f>B15+B22</f>
        <v>363050.25</v>
      </c>
      <c r="C14" s="18">
        <f>C15+C22</f>
        <v>272602.015</v>
      </c>
      <c r="D14" s="18">
        <f>D15+D22</f>
        <v>256087.658</v>
      </c>
      <c r="E14" s="19">
        <f t="shared" si="0"/>
        <v>70.53779965720999</v>
      </c>
      <c r="F14" s="19">
        <f t="shared" si="1"/>
        <v>93.94195343713801</v>
      </c>
    </row>
    <row r="15" spans="1:6" s="41" customFormat="1" ht="15">
      <c r="A15" s="40" t="s">
        <v>48</v>
      </c>
      <c r="B15" s="25">
        <f>317696.477+25068</f>
        <v>342764.477</v>
      </c>
      <c r="C15" s="25">
        <f>234384.273+18831.969</f>
        <v>253216.242</v>
      </c>
      <c r="D15" s="25">
        <f>222981.914+883.747+18831.969</f>
        <v>242697.63</v>
      </c>
      <c r="E15" s="20">
        <f>SUM(D15)/B15*100</f>
        <v>70.80594585651885</v>
      </c>
      <c r="F15" s="20">
        <f>SUM(D15)/C15*100</f>
        <v>95.845996324359</v>
      </c>
    </row>
    <row r="16" spans="1:6" s="41" customFormat="1" ht="15">
      <c r="A16" s="42" t="s">
        <v>40</v>
      </c>
      <c r="B16" s="11">
        <v>132887.651</v>
      </c>
      <c r="C16" s="11">
        <v>98940.622</v>
      </c>
      <c r="D16" s="11">
        <f>97597.484+42.494</f>
        <v>97639.978</v>
      </c>
      <c r="E16" s="20">
        <f t="shared" si="0"/>
        <v>73.47558427381638</v>
      </c>
      <c r="F16" s="20">
        <f t="shared" si="1"/>
        <v>98.68542973178398</v>
      </c>
    </row>
    <row r="17" spans="1:6" s="41" customFormat="1" ht="15">
      <c r="A17" s="42" t="s">
        <v>41</v>
      </c>
      <c r="B17" s="11">
        <v>47467.288</v>
      </c>
      <c r="C17" s="11">
        <v>35648.164</v>
      </c>
      <c r="D17" s="11">
        <v>34668.841</v>
      </c>
      <c r="E17" s="20">
        <f t="shared" si="0"/>
        <v>73.03733257311856</v>
      </c>
      <c r="F17" s="20">
        <f t="shared" si="1"/>
        <v>97.25280942940007</v>
      </c>
    </row>
    <row r="18" spans="1:6" s="41" customFormat="1" ht="15">
      <c r="A18" s="42" t="s">
        <v>42</v>
      </c>
      <c r="B18" s="58">
        <v>11580.27</v>
      </c>
      <c r="C18" s="11">
        <v>9450.709</v>
      </c>
      <c r="D18" s="11">
        <f>8475.768+110.962</f>
        <v>8586.73</v>
      </c>
      <c r="E18" s="20">
        <f t="shared" si="0"/>
        <v>74.14965281465803</v>
      </c>
      <c r="F18" s="20">
        <f t="shared" si="1"/>
        <v>90.85805096739301</v>
      </c>
    </row>
    <row r="19" spans="1:6" s="41" customFormat="1" ht="15">
      <c r="A19" s="42" t="s">
        <v>43</v>
      </c>
      <c r="B19" s="11">
        <v>4056.884</v>
      </c>
      <c r="C19" s="11">
        <v>3113.037</v>
      </c>
      <c r="D19" s="11">
        <f>2921.785+39.752</f>
        <v>2961.537</v>
      </c>
      <c r="E19" s="20">
        <f t="shared" si="0"/>
        <v>73.00028790569313</v>
      </c>
      <c r="F19" s="20">
        <f t="shared" si="1"/>
        <v>95.13336976078344</v>
      </c>
    </row>
    <row r="20" spans="1:6" s="41" customFormat="1" ht="30">
      <c r="A20" s="42" t="s">
        <v>44</v>
      </c>
      <c r="B20" s="11">
        <v>30224.41</v>
      </c>
      <c r="C20" s="11">
        <v>20047.765</v>
      </c>
      <c r="D20" s="11">
        <f>16744.747+127.978</f>
        <v>16872.725</v>
      </c>
      <c r="E20" s="20">
        <f t="shared" si="0"/>
        <v>55.82482834238947</v>
      </c>
      <c r="F20" s="20">
        <f t="shared" si="1"/>
        <v>84.1626236141535</v>
      </c>
    </row>
    <row r="21" spans="1:6" s="41" customFormat="1" ht="15">
      <c r="A21" s="42" t="s">
        <v>45</v>
      </c>
      <c r="B21" s="11">
        <f>SUM(B15)-B16-B17-B18-B19-B20</f>
        <v>116547.97400000002</v>
      </c>
      <c r="C21" s="11">
        <f>SUM(C15)-C16-C17-C18-C19-C20</f>
        <v>86015.945</v>
      </c>
      <c r="D21" s="11">
        <f>SUM(D15)-D16-D17-D18-D19-D20</f>
        <v>81967.81900000002</v>
      </c>
      <c r="E21" s="20">
        <f t="shared" si="0"/>
        <v>70.32968157816283</v>
      </c>
      <c r="F21" s="20">
        <f t="shared" si="1"/>
        <v>95.2937493158972</v>
      </c>
    </row>
    <row r="22" spans="1:6" s="41" customFormat="1" ht="15">
      <c r="A22" s="40" t="s">
        <v>46</v>
      </c>
      <c r="B22" s="25">
        <f>11416.945+8868.828</f>
        <v>20285.773</v>
      </c>
      <c r="C22" s="25">
        <f>10516.945+8868.828</f>
        <v>19385.773</v>
      </c>
      <c r="D22" s="25">
        <v>13390.028</v>
      </c>
      <c r="E22" s="20">
        <f t="shared" si="0"/>
        <v>66.00698923329172</v>
      </c>
      <c r="F22" s="20">
        <f t="shared" si="1"/>
        <v>69.07141644545203</v>
      </c>
    </row>
    <row r="23" spans="1:6" s="39" customFormat="1" ht="28.5">
      <c r="A23" s="37" t="s">
        <v>64</v>
      </c>
      <c r="B23" s="18">
        <f>B24+B34</f>
        <v>662358.562</v>
      </c>
      <c r="C23" s="18">
        <f>C24+C34</f>
        <v>402610.35599999997</v>
      </c>
      <c r="D23" s="18">
        <f>D24+D34</f>
        <v>392220.26499999996</v>
      </c>
      <c r="E23" s="19">
        <f t="shared" si="0"/>
        <v>59.21570090612038</v>
      </c>
      <c r="F23" s="19">
        <f t="shared" si="1"/>
        <v>97.41931849363556</v>
      </c>
    </row>
    <row r="24" spans="1:6" s="41" customFormat="1" ht="15">
      <c r="A24" s="40" t="s">
        <v>48</v>
      </c>
      <c r="B24" s="25">
        <v>659174.234</v>
      </c>
      <c r="C24" s="25">
        <v>402227.459</v>
      </c>
      <c r="D24" s="25">
        <f>391951.434+13.16</f>
        <v>391964.594</v>
      </c>
      <c r="E24" s="20">
        <f>SUM(D24)/B24*100</f>
        <v>59.46297257729282</v>
      </c>
      <c r="F24" s="20">
        <f>SUM(D24)/C24*100</f>
        <v>97.44849219754536</v>
      </c>
    </row>
    <row r="25" spans="1:6" s="41" customFormat="1" ht="15">
      <c r="A25" s="42" t="s">
        <v>40</v>
      </c>
      <c r="B25" s="11">
        <v>11580.045</v>
      </c>
      <c r="C25" s="11">
        <v>8078.96</v>
      </c>
      <c r="D25" s="11">
        <v>8028.425</v>
      </c>
      <c r="E25" s="20">
        <f t="shared" si="0"/>
        <v>69.3298255749438</v>
      </c>
      <c r="F25" s="20">
        <f t="shared" si="1"/>
        <v>99.37448632002139</v>
      </c>
    </row>
    <row r="26" spans="1:6" s="41" customFormat="1" ht="15">
      <c r="A26" s="42" t="s">
        <v>41</v>
      </c>
      <c r="B26" s="11">
        <v>4163.178</v>
      </c>
      <c r="C26" s="11">
        <v>2904.25</v>
      </c>
      <c r="D26" s="11">
        <v>2890.527</v>
      </c>
      <c r="E26" s="20">
        <f t="shared" si="0"/>
        <v>69.4307810043193</v>
      </c>
      <c r="F26" s="20">
        <f t="shared" si="1"/>
        <v>99.52748558147543</v>
      </c>
    </row>
    <row r="27" spans="1:6" s="41" customFormat="1" ht="15">
      <c r="A27" s="42" t="s">
        <v>42</v>
      </c>
      <c r="B27" s="11">
        <v>77.62</v>
      </c>
      <c r="C27" s="11">
        <v>73.9</v>
      </c>
      <c r="D27" s="11">
        <v>67.28</v>
      </c>
      <c r="E27" s="20">
        <f t="shared" si="0"/>
        <v>86.6786910590054</v>
      </c>
      <c r="F27" s="20">
        <f t="shared" si="1"/>
        <v>91.04194857916103</v>
      </c>
    </row>
    <row r="28" spans="1:6" s="41" customFormat="1" ht="15">
      <c r="A28" s="42" t="s">
        <v>43</v>
      </c>
      <c r="B28" s="11">
        <v>138.829</v>
      </c>
      <c r="C28" s="11">
        <v>113.42</v>
      </c>
      <c r="D28" s="11">
        <v>113.42</v>
      </c>
      <c r="E28" s="20">
        <f t="shared" si="0"/>
        <v>81.69762801720101</v>
      </c>
      <c r="F28" s="20">
        <f t="shared" si="1"/>
        <v>100</v>
      </c>
    </row>
    <row r="29" spans="1:6" s="41" customFormat="1" ht="30">
      <c r="A29" s="42" t="s">
        <v>44</v>
      </c>
      <c r="B29" s="11">
        <v>1150.295</v>
      </c>
      <c r="C29" s="11">
        <v>712.204</v>
      </c>
      <c r="D29" s="11">
        <v>652.941</v>
      </c>
      <c r="E29" s="20">
        <f t="shared" si="0"/>
        <v>56.762917338595756</v>
      </c>
      <c r="F29" s="20">
        <f t="shared" si="1"/>
        <v>91.6789290708842</v>
      </c>
    </row>
    <row r="30" spans="1:6" s="41" customFormat="1" ht="15">
      <c r="A30" s="42" t="s">
        <v>45</v>
      </c>
      <c r="B30" s="11">
        <f>SUM(B24)-B25-B26-B27-B28-B29</f>
        <v>642064.267</v>
      </c>
      <c r="C30" s="11">
        <f>SUM(C24)-C25-C26-C27-C28-C29</f>
        <v>390344.7249999999</v>
      </c>
      <c r="D30" s="11">
        <f>SUM(D24)-D25-D26-D27-D28-D29</f>
        <v>380212.001</v>
      </c>
      <c r="E30" s="20">
        <f t="shared" si="0"/>
        <v>59.21712522276216</v>
      </c>
      <c r="F30" s="20">
        <f t="shared" si="1"/>
        <v>97.40416013051029</v>
      </c>
    </row>
    <row r="31" spans="1:6" s="41" customFormat="1" ht="15">
      <c r="A31" s="42" t="s">
        <v>49</v>
      </c>
      <c r="B31" s="11">
        <f>SUM(B32:B33)</f>
        <v>627256.23</v>
      </c>
      <c r="C31" s="11">
        <f>SUM(C32:C33)</f>
        <v>377642.761</v>
      </c>
      <c r="D31" s="11">
        <f>SUM(D32:D33)</f>
        <v>369010.96</v>
      </c>
      <c r="E31" s="20">
        <f>SUM(D31)/B31*100</f>
        <v>58.82938141562979</v>
      </c>
      <c r="F31" s="20">
        <f>SUM(D31)/C31*100</f>
        <v>97.71429459493864</v>
      </c>
    </row>
    <row r="32" spans="1:6" s="41" customFormat="1" ht="30">
      <c r="A32" s="43" t="s">
        <v>70</v>
      </c>
      <c r="B32" s="11">
        <v>393644.2</v>
      </c>
      <c r="C32" s="11">
        <v>298446.423</v>
      </c>
      <c r="D32" s="11">
        <v>298446.423</v>
      </c>
      <c r="E32" s="20">
        <f>SUM(D32)/B32*100</f>
        <v>75.81628866880294</v>
      </c>
      <c r="F32" s="20">
        <f>SUM(D32)/C32*100</f>
        <v>100</v>
      </c>
    </row>
    <row r="33" spans="1:6" s="41" customFormat="1" ht="15">
      <c r="A33" s="43" t="s">
        <v>65</v>
      </c>
      <c r="B33" s="11">
        <v>233612.03</v>
      </c>
      <c r="C33" s="11">
        <v>79196.338</v>
      </c>
      <c r="D33" s="11">
        <v>70564.537</v>
      </c>
      <c r="E33" s="20">
        <f>SUM(D33)/B33*100</f>
        <v>30.20586611057658</v>
      </c>
      <c r="F33" s="20">
        <f>SUM(D33)/C33*100</f>
        <v>89.10075741128333</v>
      </c>
    </row>
    <row r="34" spans="1:6" s="41" customFormat="1" ht="15">
      <c r="A34" s="40" t="s">
        <v>46</v>
      </c>
      <c r="B34" s="25">
        <f>2396.328+788</f>
        <v>3184.328</v>
      </c>
      <c r="C34" s="25">
        <f>708-325.103</f>
        <v>382.897</v>
      </c>
      <c r="D34" s="25">
        <v>255.671</v>
      </c>
      <c r="E34" s="20">
        <f>SUM(D34)/B34*100</f>
        <v>8.02904097819069</v>
      </c>
      <c r="F34" s="20">
        <f>SUM(D34)/C34*100</f>
        <v>66.77278745981296</v>
      </c>
    </row>
    <row r="35" spans="1:6" s="41" customFormat="1" ht="15">
      <c r="A35" s="42" t="s">
        <v>69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</row>
    <row r="36" spans="1:6" s="39" customFormat="1" ht="14.25">
      <c r="A36" s="37" t="s">
        <v>66</v>
      </c>
      <c r="B36" s="18">
        <f>B37+B42</f>
        <v>96866.24799999999</v>
      </c>
      <c r="C36" s="18">
        <f>C37+C42</f>
        <v>67172.789</v>
      </c>
      <c r="D36" s="18">
        <f>D37+D42</f>
        <v>58419.167</v>
      </c>
      <c r="E36" s="19">
        <f t="shared" si="0"/>
        <v>60.309104777135595</v>
      </c>
      <c r="F36" s="19">
        <f t="shared" si="1"/>
        <v>86.96849999781905</v>
      </c>
    </row>
    <row r="37" spans="1:6" s="41" customFormat="1" ht="15">
      <c r="A37" s="40" t="s">
        <v>48</v>
      </c>
      <c r="B37" s="25">
        <v>77949.817</v>
      </c>
      <c r="C37" s="25">
        <v>53956.23</v>
      </c>
      <c r="D37" s="25">
        <f>51262.913+8.203</f>
        <v>51271.116</v>
      </c>
      <c r="E37" s="20">
        <f>SUM(D37)/B37*100</f>
        <v>65.77451746936109</v>
      </c>
      <c r="F37" s="20">
        <f>SUM(D37)/C37*100</f>
        <v>95.02353296366333</v>
      </c>
    </row>
    <row r="38" spans="1:6" s="41" customFormat="1" ht="15">
      <c r="A38" s="42" t="s">
        <v>40</v>
      </c>
      <c r="B38" s="11">
        <v>33097.391</v>
      </c>
      <c r="C38" s="11">
        <v>24365.522</v>
      </c>
      <c r="D38" s="11">
        <v>23276.608</v>
      </c>
      <c r="E38" s="20">
        <f t="shared" si="0"/>
        <v>70.32762189623949</v>
      </c>
      <c r="F38" s="20">
        <f t="shared" si="1"/>
        <v>95.53092275223982</v>
      </c>
    </row>
    <row r="39" spans="1:6" s="41" customFormat="1" ht="15">
      <c r="A39" s="42" t="s">
        <v>41</v>
      </c>
      <c r="B39" s="11">
        <v>12086.354</v>
      </c>
      <c r="C39" s="11">
        <v>8963.047</v>
      </c>
      <c r="D39" s="11">
        <v>8499.674</v>
      </c>
      <c r="E39" s="20">
        <f t="shared" si="0"/>
        <v>70.32454948779426</v>
      </c>
      <c r="F39" s="20">
        <f t="shared" si="1"/>
        <v>94.83018442277499</v>
      </c>
    </row>
    <row r="40" spans="1:6" s="41" customFormat="1" ht="30">
      <c r="A40" s="42" t="s">
        <v>44</v>
      </c>
      <c r="B40" s="11">
        <v>5631.026</v>
      </c>
      <c r="C40" s="11">
        <v>3048.594</v>
      </c>
      <c r="D40" s="11">
        <v>3004.429</v>
      </c>
      <c r="E40" s="20">
        <f t="shared" si="0"/>
        <v>53.354912586089995</v>
      </c>
      <c r="F40" s="20">
        <f t="shared" si="1"/>
        <v>98.55129938588084</v>
      </c>
    </row>
    <row r="41" spans="1:6" s="41" customFormat="1" ht="15">
      <c r="A41" s="42" t="s">
        <v>45</v>
      </c>
      <c r="B41" s="11">
        <f>SUM(B37)-B38-B39-B40</f>
        <v>27135.045999999995</v>
      </c>
      <c r="C41" s="11">
        <f>SUM(C37)-C38-C39-C40</f>
        <v>17579.067</v>
      </c>
      <c r="D41" s="11">
        <f>SUM(D37)-D38-D39-D40</f>
        <v>16490.405000000002</v>
      </c>
      <c r="E41" s="20">
        <f t="shared" si="0"/>
        <v>60.771612474878445</v>
      </c>
      <c r="F41" s="20">
        <f t="shared" si="1"/>
        <v>93.80705472025338</v>
      </c>
    </row>
    <row r="42" spans="1:6" s="41" customFormat="1" ht="15">
      <c r="A42" s="40" t="s">
        <v>46</v>
      </c>
      <c r="B42" s="25">
        <f>8951+9965.431</f>
        <v>18916.431</v>
      </c>
      <c r="C42" s="25">
        <f>7566.559+5650</f>
        <v>13216.559000000001</v>
      </c>
      <c r="D42" s="25">
        <v>7148.051</v>
      </c>
      <c r="E42" s="20">
        <f t="shared" si="0"/>
        <v>37.787524507133504</v>
      </c>
      <c r="F42" s="20">
        <f t="shared" si="1"/>
        <v>54.0840547074318</v>
      </c>
    </row>
    <row r="43" spans="1:6" s="39" customFormat="1" ht="14.25">
      <c r="A43" s="37" t="s">
        <v>67</v>
      </c>
      <c r="B43" s="18">
        <f>B44+B49</f>
        <v>45856.041</v>
      </c>
      <c r="C43" s="18">
        <f>C44+C49</f>
        <v>33004.525</v>
      </c>
      <c r="D43" s="18">
        <f>D44+D49</f>
        <v>30038.402000000002</v>
      </c>
      <c r="E43" s="19">
        <f t="shared" si="0"/>
        <v>65.50587740446238</v>
      </c>
      <c r="F43" s="19">
        <f t="shared" si="1"/>
        <v>91.01298079581512</v>
      </c>
    </row>
    <row r="44" spans="1:6" s="41" customFormat="1" ht="15">
      <c r="A44" s="40" t="s">
        <v>48</v>
      </c>
      <c r="B44" s="25">
        <v>40340.364</v>
      </c>
      <c r="C44" s="25">
        <v>28561.964</v>
      </c>
      <c r="D44" s="25">
        <f>27276.042+44.007</f>
        <v>27320.049000000003</v>
      </c>
      <c r="E44" s="20">
        <f>SUM(D44)/B44*100</f>
        <v>67.72385345853597</v>
      </c>
      <c r="F44" s="20">
        <f>SUM(D44)/C44*100</f>
        <v>95.65185713419429</v>
      </c>
    </row>
    <row r="45" spans="1:6" s="41" customFormat="1" ht="15">
      <c r="A45" s="42" t="s">
        <v>40</v>
      </c>
      <c r="B45" s="11">
        <v>20371.66</v>
      </c>
      <c r="C45" s="11">
        <v>14449.278</v>
      </c>
      <c r="D45" s="11">
        <v>14049.472</v>
      </c>
      <c r="E45" s="20">
        <f t="shared" si="0"/>
        <v>68.96576911258092</v>
      </c>
      <c r="F45" s="20">
        <f t="shared" si="1"/>
        <v>97.23303821824176</v>
      </c>
    </row>
    <row r="46" spans="1:6" s="41" customFormat="1" ht="15">
      <c r="A46" s="42" t="s">
        <v>41</v>
      </c>
      <c r="B46" s="11">
        <v>7318.765</v>
      </c>
      <c r="C46" s="11">
        <v>5190.711</v>
      </c>
      <c r="D46" s="11">
        <v>5057.314</v>
      </c>
      <c r="E46" s="20">
        <f t="shared" si="0"/>
        <v>69.10064744529986</v>
      </c>
      <c r="F46" s="20">
        <f t="shared" si="1"/>
        <v>97.43008231434962</v>
      </c>
    </row>
    <row r="47" spans="1:6" s="41" customFormat="1" ht="30">
      <c r="A47" s="42" t="s">
        <v>44</v>
      </c>
      <c r="B47" s="11">
        <v>3303.442</v>
      </c>
      <c r="C47" s="11">
        <v>1913.203</v>
      </c>
      <c r="D47" s="11">
        <f>1714.528+10.629</f>
        <v>1725.157</v>
      </c>
      <c r="E47" s="20">
        <f t="shared" si="0"/>
        <v>52.22301466167713</v>
      </c>
      <c r="F47" s="20">
        <f t="shared" si="1"/>
        <v>90.17114231997337</v>
      </c>
    </row>
    <row r="48" spans="1:6" s="41" customFormat="1" ht="15">
      <c r="A48" s="42" t="s">
        <v>45</v>
      </c>
      <c r="B48" s="11">
        <f>SUM(B44)-B45-B46-B47</f>
        <v>9346.497000000003</v>
      </c>
      <c r="C48" s="11">
        <f>SUM(C44)-C45-C46-C47</f>
        <v>7008.771999999999</v>
      </c>
      <c r="D48" s="11">
        <f>SUM(D44)-D45-D46-D47</f>
        <v>6488.1060000000025</v>
      </c>
      <c r="E48" s="20">
        <f t="shared" si="0"/>
        <v>69.41751546060519</v>
      </c>
      <c r="F48" s="20">
        <f t="shared" si="1"/>
        <v>92.57122360379255</v>
      </c>
    </row>
    <row r="49" spans="1:6" s="41" customFormat="1" ht="15">
      <c r="A49" s="40" t="s">
        <v>46</v>
      </c>
      <c r="B49" s="25">
        <f>2828.9+2686.777</f>
        <v>5515.677</v>
      </c>
      <c r="C49" s="25">
        <f>1763.661+2678.9</f>
        <v>4442.561</v>
      </c>
      <c r="D49" s="25">
        <v>2718.353</v>
      </c>
      <c r="E49" s="20">
        <f t="shared" si="0"/>
        <v>49.28412232986087</v>
      </c>
      <c r="F49" s="20">
        <f t="shared" si="1"/>
        <v>61.188872814577</v>
      </c>
    </row>
    <row r="50" spans="1:6" s="41" customFormat="1" ht="14.25">
      <c r="A50" s="37" t="s">
        <v>50</v>
      </c>
      <c r="B50" s="18">
        <f>B51+B56</f>
        <v>79201.18000000001</v>
      </c>
      <c r="C50" s="18">
        <f>C51+C56</f>
        <v>57003.795</v>
      </c>
      <c r="D50" s="18">
        <f>D51+D56</f>
        <v>54651.421</v>
      </c>
      <c r="E50" s="19">
        <f t="shared" si="0"/>
        <v>69.0032913651034</v>
      </c>
      <c r="F50" s="19">
        <f t="shared" si="1"/>
        <v>95.8733028213297</v>
      </c>
    </row>
    <row r="51" spans="1:6" s="41" customFormat="1" ht="15">
      <c r="A51" s="40" t="s">
        <v>48</v>
      </c>
      <c r="B51" s="25">
        <v>74795.85</v>
      </c>
      <c r="C51" s="25">
        <v>54388.972</v>
      </c>
      <c r="D51" s="25">
        <v>52074.947</v>
      </c>
      <c r="E51" s="20">
        <f>SUM(D51)/B51*100</f>
        <v>69.62277586256457</v>
      </c>
      <c r="F51" s="20">
        <f>SUM(D51)/C51*100</f>
        <v>95.74541508157205</v>
      </c>
    </row>
    <row r="52" spans="1:6" s="41" customFormat="1" ht="15">
      <c r="A52" s="42" t="s">
        <v>40</v>
      </c>
      <c r="B52" s="11">
        <v>41542.044</v>
      </c>
      <c r="C52" s="11">
        <v>29921.722</v>
      </c>
      <c r="D52" s="11">
        <v>29640.632</v>
      </c>
      <c r="E52" s="20">
        <f t="shared" si="0"/>
        <v>71.3509234162864</v>
      </c>
      <c r="F52" s="20">
        <f t="shared" si="1"/>
        <v>99.06058214162941</v>
      </c>
    </row>
    <row r="53" spans="1:6" s="41" customFormat="1" ht="15">
      <c r="A53" s="42" t="s">
        <v>41</v>
      </c>
      <c r="B53" s="11">
        <v>15008.932</v>
      </c>
      <c r="C53" s="11">
        <v>10823.028</v>
      </c>
      <c r="D53" s="11">
        <v>10723.958</v>
      </c>
      <c r="E53" s="20">
        <f t="shared" si="0"/>
        <v>71.45050693813523</v>
      </c>
      <c r="F53" s="20">
        <f t="shared" si="1"/>
        <v>99.08463694263749</v>
      </c>
    </row>
    <row r="54" spans="1:6" s="41" customFormat="1" ht="30">
      <c r="A54" s="42" t="s">
        <v>44</v>
      </c>
      <c r="B54" s="11">
        <v>4210.676</v>
      </c>
      <c r="C54" s="11">
        <v>2619.296</v>
      </c>
      <c r="D54" s="11">
        <v>2405.367</v>
      </c>
      <c r="E54" s="20">
        <f t="shared" si="0"/>
        <v>57.125435440770076</v>
      </c>
      <c r="F54" s="20">
        <f t="shared" si="1"/>
        <v>91.83257638693757</v>
      </c>
    </row>
    <row r="55" spans="1:6" s="41" customFormat="1" ht="15">
      <c r="A55" s="42" t="s">
        <v>45</v>
      </c>
      <c r="B55" s="11">
        <f>SUM(B51)-B52-B53-B54</f>
        <v>14034.198000000004</v>
      </c>
      <c r="C55" s="11">
        <f>SUM(C51)-C52-C53-C54</f>
        <v>11024.926</v>
      </c>
      <c r="D55" s="11">
        <f>SUM(D51)-D52-D53-D54</f>
        <v>9304.989999999998</v>
      </c>
      <c r="E55" s="20">
        <f t="shared" si="0"/>
        <v>66.30225681581517</v>
      </c>
      <c r="F55" s="20">
        <f t="shared" si="1"/>
        <v>84.39956875901025</v>
      </c>
    </row>
    <row r="56" spans="1:6" s="41" customFormat="1" ht="15">
      <c r="A56" s="40" t="s">
        <v>46</v>
      </c>
      <c r="B56" s="25">
        <f>200+4205.33</f>
        <v>4405.33</v>
      </c>
      <c r="C56" s="25">
        <f>200+2414.823</f>
        <v>2614.823</v>
      </c>
      <c r="D56" s="25">
        <v>2576.474</v>
      </c>
      <c r="E56" s="20">
        <f t="shared" si="0"/>
        <v>58.48538020988212</v>
      </c>
      <c r="F56" s="20">
        <f t="shared" si="1"/>
        <v>98.5333997750517</v>
      </c>
    </row>
    <row r="57" spans="1:6" s="41" customFormat="1" ht="28.5">
      <c r="A57" s="21" t="s">
        <v>51</v>
      </c>
      <c r="B57" s="22">
        <f>B58+B63</f>
        <v>294187.634</v>
      </c>
      <c r="C57" s="22">
        <f>C58+C63</f>
        <v>231933.451</v>
      </c>
      <c r="D57" s="22">
        <f>D58+D63</f>
        <v>167119.994</v>
      </c>
      <c r="E57" s="19">
        <f t="shared" si="0"/>
        <v>56.80728034952006</v>
      </c>
      <c r="F57" s="19">
        <f t="shared" si="1"/>
        <v>72.05514912982518</v>
      </c>
    </row>
    <row r="58" spans="1:6" s="41" customFormat="1" ht="15">
      <c r="A58" s="40" t="s">
        <v>48</v>
      </c>
      <c r="B58" s="25">
        <f>158562.628+35861.8</f>
        <v>194424.428</v>
      </c>
      <c r="C58" s="25">
        <f>118020.795+20445.9</f>
        <v>138466.695</v>
      </c>
      <c r="D58" s="25">
        <f>101765.134+1332.498+10791.202</f>
        <v>113888.83400000002</v>
      </c>
      <c r="E58" s="20">
        <f>SUM(D58)/B58*100</f>
        <v>58.57743040396139</v>
      </c>
      <c r="F58" s="20">
        <f>SUM(D58)/C58*100</f>
        <v>82.24998365130331</v>
      </c>
    </row>
    <row r="59" spans="1:6" s="41" customFormat="1" ht="15">
      <c r="A59" s="42" t="s">
        <v>40</v>
      </c>
      <c r="B59" s="11">
        <v>423.637</v>
      </c>
      <c r="C59" s="11">
        <v>341.296</v>
      </c>
      <c r="D59" s="11">
        <v>262.916</v>
      </c>
      <c r="E59" s="20">
        <f t="shared" si="0"/>
        <v>62.061623512582706</v>
      </c>
      <c r="F59" s="20">
        <f t="shared" si="1"/>
        <v>77.0345975341053</v>
      </c>
    </row>
    <row r="60" spans="1:6" s="41" customFormat="1" ht="15">
      <c r="A60" s="42" t="s">
        <v>41</v>
      </c>
      <c r="B60" s="11">
        <v>153.961</v>
      </c>
      <c r="C60" s="11">
        <v>123.661</v>
      </c>
      <c r="D60" s="11">
        <v>92.484</v>
      </c>
      <c r="E60" s="20">
        <f t="shared" si="0"/>
        <v>60.06975792570846</v>
      </c>
      <c r="F60" s="20">
        <f t="shared" si="1"/>
        <v>74.78833261901488</v>
      </c>
    </row>
    <row r="61" spans="1:6" s="41" customFormat="1" ht="30">
      <c r="A61" s="42" t="s">
        <v>44</v>
      </c>
      <c r="B61" s="11">
        <v>15891.008</v>
      </c>
      <c r="C61" s="11">
        <v>10672.258</v>
      </c>
      <c r="D61" s="11">
        <f>9781.519+303.294</f>
        <v>10084.813</v>
      </c>
      <c r="E61" s="20">
        <f t="shared" si="0"/>
        <v>63.46238703045144</v>
      </c>
      <c r="F61" s="20">
        <f t="shared" si="1"/>
        <v>94.49558846871956</v>
      </c>
    </row>
    <row r="62" spans="1:6" s="41" customFormat="1" ht="15">
      <c r="A62" s="42" t="s">
        <v>45</v>
      </c>
      <c r="B62" s="11">
        <f>SUM(B58)-B59-B60-B61</f>
        <v>177955.82200000001</v>
      </c>
      <c r="C62" s="11">
        <f>SUM(C58)-C59-C60-C61</f>
        <v>127329.48000000001</v>
      </c>
      <c r="D62" s="11">
        <f>SUM(D58)-D59-D60-D61</f>
        <v>103448.62100000003</v>
      </c>
      <c r="E62" s="20">
        <f t="shared" si="0"/>
        <v>58.13163055716155</v>
      </c>
      <c r="F62" s="20">
        <f t="shared" si="1"/>
        <v>81.24483112630321</v>
      </c>
    </row>
    <row r="63" spans="1:6" s="41" customFormat="1" ht="15">
      <c r="A63" s="40" t="s">
        <v>46</v>
      </c>
      <c r="B63" s="25">
        <f>61251.718-35861.8+74373.288</f>
        <v>99763.206</v>
      </c>
      <c r="C63" s="25">
        <f>44853.3-20445.9+69059.356</f>
        <v>93466.756</v>
      </c>
      <c r="D63" s="25">
        <f>52876.147+355.013</f>
        <v>53231.159999999996</v>
      </c>
      <c r="E63" s="20">
        <f t="shared" si="0"/>
        <v>53.35750737601595</v>
      </c>
      <c r="F63" s="20">
        <f t="shared" si="1"/>
        <v>56.95197124419297</v>
      </c>
    </row>
    <row r="64" spans="1:6" s="41" customFormat="1" ht="15">
      <c r="A64" s="21" t="s">
        <v>52</v>
      </c>
      <c r="B64" s="22">
        <f>SUM(B65)</f>
        <v>83300.756</v>
      </c>
      <c r="C64" s="22">
        <f>SUM(C65)</f>
        <v>62173.032</v>
      </c>
      <c r="D64" s="22">
        <f>SUM(D65)</f>
        <v>19398.359</v>
      </c>
      <c r="E64" s="19">
        <f t="shared" si="0"/>
        <v>23.28713439287394</v>
      </c>
      <c r="F64" s="19">
        <f t="shared" si="1"/>
        <v>31.20059996430607</v>
      </c>
    </row>
    <row r="65" spans="1:6" s="41" customFormat="1" ht="15">
      <c r="A65" s="40" t="s">
        <v>46</v>
      </c>
      <c r="B65" s="25">
        <f>19538.959+63761.797</f>
        <v>83300.756</v>
      </c>
      <c r="C65" s="25">
        <f>9486.394+52686.638</f>
        <v>62173.032</v>
      </c>
      <c r="D65" s="25">
        <f>19109.291+289.068</f>
        <v>19398.359</v>
      </c>
      <c r="E65" s="20">
        <f t="shared" si="0"/>
        <v>23.28713439287394</v>
      </c>
      <c r="F65" s="20">
        <f t="shared" si="1"/>
        <v>31.20059996430607</v>
      </c>
    </row>
    <row r="66" spans="1:6" s="41" customFormat="1" ht="15">
      <c r="A66" s="44" t="s">
        <v>53</v>
      </c>
      <c r="B66" s="22">
        <f>SUM(B67:B68)</f>
        <v>152245.844</v>
      </c>
      <c r="C66" s="22">
        <f>SUM(C67:C68)</f>
        <v>127592.978</v>
      </c>
      <c r="D66" s="22">
        <f>SUM(D67:D68)</f>
        <v>103345.745</v>
      </c>
      <c r="E66" s="19">
        <f t="shared" si="0"/>
        <v>67.88083161074661</v>
      </c>
      <c r="F66" s="19">
        <f t="shared" si="1"/>
        <v>80.9964205083449</v>
      </c>
    </row>
    <row r="67" spans="1:6" s="41" customFormat="1" ht="15">
      <c r="A67" s="40" t="s">
        <v>45</v>
      </c>
      <c r="B67" s="25">
        <v>59582.369</v>
      </c>
      <c r="C67" s="25">
        <v>50169.354</v>
      </c>
      <c r="D67" s="25">
        <v>46066.272</v>
      </c>
      <c r="E67" s="20">
        <f t="shared" si="0"/>
        <v>77.31527425504011</v>
      </c>
      <c r="F67" s="20">
        <f t="shared" si="1"/>
        <v>91.82153710809192</v>
      </c>
    </row>
    <row r="68" spans="1:6" s="41" customFormat="1" ht="15">
      <c r="A68" s="40" t="s">
        <v>46</v>
      </c>
      <c r="B68" s="25">
        <f>40309.086+52354.389</f>
        <v>92663.475</v>
      </c>
      <c r="C68" s="25">
        <f>35131.168+42292.456</f>
        <v>77423.624</v>
      </c>
      <c r="D68" s="25">
        <v>57279.473</v>
      </c>
      <c r="E68" s="20">
        <f t="shared" si="0"/>
        <v>61.8145099781764</v>
      </c>
      <c r="F68" s="20">
        <f t="shared" si="1"/>
        <v>73.98190634941088</v>
      </c>
    </row>
    <row r="69" spans="1:6" s="41" customFormat="1" ht="57">
      <c r="A69" s="45" t="s">
        <v>54</v>
      </c>
      <c r="B69" s="22">
        <f>SUM(B70:B70)</f>
        <v>46206</v>
      </c>
      <c r="C69" s="22">
        <f>SUM(C70:C70)</f>
        <v>28972.15</v>
      </c>
      <c r="D69" s="22">
        <f>SUM(D70:D70)</f>
        <v>25426.9</v>
      </c>
      <c r="E69" s="19">
        <f t="shared" si="0"/>
        <v>55.02943340691685</v>
      </c>
      <c r="F69" s="19">
        <f t="shared" si="1"/>
        <v>87.76324849898954</v>
      </c>
    </row>
    <row r="70" spans="1:6" s="41" customFormat="1" ht="15">
      <c r="A70" s="40" t="s">
        <v>46</v>
      </c>
      <c r="B70" s="25">
        <v>46206</v>
      </c>
      <c r="C70" s="25">
        <f>16102.15+12870</f>
        <v>28972.15</v>
      </c>
      <c r="D70" s="25">
        <v>25426.9</v>
      </c>
      <c r="E70" s="20">
        <f t="shared" si="0"/>
        <v>55.02943340691685</v>
      </c>
      <c r="F70" s="20">
        <f t="shared" si="1"/>
        <v>87.76324849898954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4164.364</v>
      </c>
      <c r="D71" s="18">
        <f>SUM(D72)+D75</f>
        <v>3851.375</v>
      </c>
      <c r="E71" s="19">
        <f t="shared" si="0"/>
        <v>56.565497084612325</v>
      </c>
      <c r="F71" s="19">
        <f t="shared" si="1"/>
        <v>92.48411041878184</v>
      </c>
    </row>
    <row r="72" spans="1:6" s="41" customFormat="1" ht="15">
      <c r="A72" s="40" t="s">
        <v>48</v>
      </c>
      <c r="B72" s="25">
        <v>5036.657</v>
      </c>
      <c r="C72" s="25">
        <v>4092.321</v>
      </c>
      <c r="D72" s="25">
        <v>3851.375</v>
      </c>
      <c r="E72" s="20">
        <f>SUM(D72)/B72*100</f>
        <v>76.46689063797673</v>
      </c>
      <c r="F72" s="20">
        <f>SUM(D72)/C72*100</f>
        <v>94.11224095079541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SUM(B71)-B73</f>
        <v>6802.628000000001</v>
      </c>
      <c r="C74" s="11">
        <f>SUM(C71)-C73</f>
        <v>4159.692</v>
      </c>
      <c r="D74" s="11">
        <f>SUM(D71)-D73</f>
        <v>3849.885</v>
      </c>
      <c r="E74" s="20">
        <f aca="true" t="shared" si="2" ref="E74:E93">SUM(D74)/B74*100</f>
        <v>56.59408393344454</v>
      </c>
      <c r="F74" s="20">
        <f aca="true" t="shared" si="3" ref="F74:F92">SUM(D74)/C74*100</f>
        <v>92.55216491990272</v>
      </c>
    </row>
    <row r="75" spans="1:6" s="41" customFormat="1" ht="15">
      <c r="A75" s="40" t="s">
        <v>46</v>
      </c>
      <c r="B75" s="25">
        <f>1700+72.043</f>
        <v>1772.0430000000001</v>
      </c>
      <c r="C75" s="25">
        <v>72.043</v>
      </c>
      <c r="D75" s="25"/>
      <c r="E75" s="20">
        <f t="shared" si="2"/>
        <v>0</v>
      </c>
      <c r="F75" s="20">
        <f t="shared" si="3"/>
        <v>0</v>
      </c>
    </row>
    <row r="76" spans="1:6" s="41" customFormat="1" ht="15">
      <c r="A76" s="44" t="s">
        <v>56</v>
      </c>
      <c r="B76" s="25">
        <v>2500</v>
      </c>
      <c r="C76" s="25">
        <v>400</v>
      </c>
      <c r="D76" s="25"/>
      <c r="E76" s="19">
        <f t="shared" si="2"/>
        <v>0</v>
      </c>
      <c r="F76" s="19"/>
    </row>
    <row r="77" spans="1:6" s="41" customFormat="1" ht="15">
      <c r="A77" s="44" t="s">
        <v>57</v>
      </c>
      <c r="B77" s="25">
        <v>18418.4</v>
      </c>
      <c r="C77" s="25">
        <v>13814</v>
      </c>
      <c r="D77" s="25">
        <v>13302.4</v>
      </c>
      <c r="E77" s="19">
        <f t="shared" si="2"/>
        <v>72.22342874516787</v>
      </c>
      <c r="F77" s="19">
        <f t="shared" si="3"/>
        <v>96.29651078615896</v>
      </c>
    </row>
    <row r="78" spans="1:6" s="39" customFormat="1" ht="14.25">
      <c r="A78" s="37" t="s">
        <v>58</v>
      </c>
      <c r="B78" s="18">
        <f>SUM(B79)+B83</f>
        <v>11199.349</v>
      </c>
      <c r="C78" s="18">
        <f>SUM(C79)+C83</f>
        <v>6826.817999999999</v>
      </c>
      <c r="D78" s="18">
        <f>SUM(D79)+D83</f>
        <v>4642.13357</v>
      </c>
      <c r="E78" s="19">
        <f t="shared" si="2"/>
        <v>41.45003044373382</v>
      </c>
      <c r="F78" s="19">
        <f t="shared" si="3"/>
        <v>67.99849607826077</v>
      </c>
    </row>
    <row r="79" spans="1:6" s="39" customFormat="1" ht="15">
      <c r="A79" s="40" t="s">
        <v>48</v>
      </c>
      <c r="B79" s="25">
        <f>8440.456-571.501</f>
        <v>7868.955</v>
      </c>
      <c r="C79" s="25">
        <v>3736.424</v>
      </c>
      <c r="D79" s="25">
        <f>1673.88631+744.93026-565.125</f>
        <v>1853.69157</v>
      </c>
      <c r="E79" s="20">
        <f>SUM(D79)/B79*100</f>
        <v>23.55702339128893</v>
      </c>
      <c r="F79" s="20">
        <f>SUM(D79)/C79*100</f>
        <v>49.61138163120673</v>
      </c>
    </row>
    <row r="80" spans="1:6" s="41" customFormat="1" ht="15">
      <c r="A80" s="42" t="s">
        <v>40</v>
      </c>
      <c r="B80" s="11">
        <v>98.3</v>
      </c>
      <c r="C80" s="11">
        <v>98.3</v>
      </c>
      <c r="D80" s="11">
        <v>77.317</v>
      </c>
      <c r="E80" s="20">
        <f t="shared" si="2"/>
        <v>78.65412004069175</v>
      </c>
      <c r="F80" s="20">
        <f t="shared" si="3"/>
        <v>78.65412004069175</v>
      </c>
    </row>
    <row r="81" spans="1:6" s="41" customFormat="1" ht="15">
      <c r="A81" s="42" t="s">
        <v>41</v>
      </c>
      <c r="B81" s="11">
        <v>33.7</v>
      </c>
      <c r="C81" s="11">
        <v>33.7</v>
      </c>
      <c r="D81" s="11">
        <v>26.829</v>
      </c>
      <c r="E81" s="20">
        <f t="shared" si="2"/>
        <v>79.61127596439168</v>
      </c>
      <c r="F81" s="20">
        <f t="shared" si="3"/>
        <v>79.61127596439168</v>
      </c>
    </row>
    <row r="82" spans="1:6" s="41" customFormat="1" ht="15">
      <c r="A82" s="42" t="s">
        <v>45</v>
      </c>
      <c r="B82" s="11">
        <f>SUM(B79)-B80-B81</f>
        <v>7736.955</v>
      </c>
      <c r="C82" s="11">
        <f>SUM(C79)-C80-C81</f>
        <v>3604.424</v>
      </c>
      <c r="D82" s="11">
        <f>SUM(D79)-D80-D81</f>
        <v>1749.54557</v>
      </c>
      <c r="E82" s="20">
        <f t="shared" si="2"/>
        <v>22.612844071084815</v>
      </c>
      <c r="F82" s="20">
        <f t="shared" si="3"/>
        <v>48.538839215364234</v>
      </c>
    </row>
    <row r="83" spans="1:6" s="41" customFormat="1" ht="15">
      <c r="A83" s="40" t="s">
        <v>46</v>
      </c>
      <c r="B83" s="25">
        <v>3330.394</v>
      </c>
      <c r="C83" s="25">
        <v>3090.394</v>
      </c>
      <c r="D83" s="25">
        <v>2788.442</v>
      </c>
      <c r="E83" s="20">
        <f t="shared" si="2"/>
        <v>83.72709054844563</v>
      </c>
      <c r="F83" s="20">
        <f t="shared" si="3"/>
        <v>90.22933645353959</v>
      </c>
    </row>
    <row r="84" spans="1:6" s="41" customFormat="1" ht="40.5">
      <c r="A84" s="46" t="s">
        <v>59</v>
      </c>
      <c r="B84" s="18">
        <f>2159.137+16186.092</f>
        <v>18345.229</v>
      </c>
      <c r="C84" s="18">
        <f>2159.137+11186.092</f>
        <v>13345.229000000001</v>
      </c>
      <c r="D84" s="18">
        <f>11186.092+1957.802</f>
        <v>13143.894</v>
      </c>
      <c r="E84" s="19">
        <f t="shared" si="2"/>
        <v>71.64747848064475</v>
      </c>
      <c r="F84" s="19">
        <f t="shared" si="3"/>
        <v>98.4913334945395</v>
      </c>
    </row>
    <row r="85" spans="1:13" s="50" customFormat="1" ht="15.75">
      <c r="A85" s="47" t="s">
        <v>60</v>
      </c>
      <c r="B85" s="28">
        <f>B5+B14+B23+B36+B43+B50+B57+B64+B66+B69+B71+B76+B77+B78+B84</f>
        <v>2465121.0769999996</v>
      </c>
      <c r="C85" s="28">
        <f>C5+C14+C23+C36+C43+C50+C57+C64+C66+C69+C71+C76+C77+C78+C84</f>
        <v>1744408.5089999998</v>
      </c>
      <c r="D85" s="28">
        <f>D5+D14+D23+D36+D43+D50+D57+D64+D66+D69+D71+D76+D77+D78+D84</f>
        <v>1536176.8865699999</v>
      </c>
      <c r="E85" s="19">
        <f t="shared" si="2"/>
        <v>62.316488261075385</v>
      </c>
      <c r="F85" s="19">
        <f t="shared" si="3"/>
        <v>88.06290949879792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2031414.3460000001</v>
      </c>
      <c r="C86" s="28">
        <f>C6+C15+C24+C37+C44+C51+C58+C67+C72+C79+C77</f>
        <v>1399594.6670000001</v>
      </c>
      <c r="D86" s="28">
        <f>D6+D15+D24+D37+D44+D51+D58+D67+D72+D79+D77</f>
        <v>1320040.3155699999</v>
      </c>
      <c r="E86" s="19">
        <f>SUM(D86)/B86*100</f>
        <v>64.98134258868721</v>
      </c>
      <c r="F86" s="19">
        <f>SUM(D86)/C86*100</f>
        <v>94.31590064568314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544521.2150000001</v>
      </c>
      <c r="C87" s="22">
        <f t="shared" si="4"/>
        <v>402903.64099999995</v>
      </c>
      <c r="D87" s="22">
        <f t="shared" si="4"/>
        <v>394440.93299999996</v>
      </c>
      <c r="E87" s="19">
        <f t="shared" si="2"/>
        <v>72.43812034026992</v>
      </c>
      <c r="F87" s="19">
        <f t="shared" si="3"/>
        <v>97.89957023495849</v>
      </c>
    </row>
    <row r="88" spans="1:6" ht="15">
      <c r="A88" s="51" t="s">
        <v>41</v>
      </c>
      <c r="B88" s="22">
        <f t="shared" si="4"/>
        <v>196894.94400000005</v>
      </c>
      <c r="C88" s="22">
        <f t="shared" si="4"/>
        <v>145550.974</v>
      </c>
      <c r="D88" s="22">
        <f t="shared" si="4"/>
        <v>142953.90800000002</v>
      </c>
      <c r="E88" s="19">
        <f t="shared" si="2"/>
        <v>72.6041538171747</v>
      </c>
      <c r="F88" s="19">
        <f t="shared" si="3"/>
        <v>98.21570001998066</v>
      </c>
    </row>
    <row r="89" spans="1:6" ht="15">
      <c r="A89" s="51" t="s">
        <v>61</v>
      </c>
      <c r="B89" s="22">
        <f>B73+B11+B20+B29+B40+B47+B54+B61</f>
        <v>138944.103</v>
      </c>
      <c r="C89" s="22">
        <f>C73+C11+C20+C29+C40+C47+C54+C61</f>
        <v>87352.43699999999</v>
      </c>
      <c r="D89" s="22">
        <f>D73+D11+D20+D29+D40+D47+D54+D61</f>
        <v>73510.233</v>
      </c>
      <c r="E89" s="19">
        <f t="shared" si="2"/>
        <v>52.90633529081834</v>
      </c>
      <c r="F89" s="19">
        <f t="shared" si="3"/>
        <v>84.15361439772997</v>
      </c>
    </row>
    <row r="90" spans="1:6" ht="15">
      <c r="A90" s="51" t="s">
        <v>45</v>
      </c>
      <c r="B90" s="22">
        <f>B86-B87-B88-B89</f>
        <v>1151054.0839999998</v>
      </c>
      <c r="C90" s="22">
        <f>C86-C87-C88-C89</f>
        <v>763787.6150000001</v>
      </c>
      <c r="D90" s="22">
        <f>D86-D87-D88-D89</f>
        <v>709135.2415699998</v>
      </c>
      <c r="E90" s="19">
        <f t="shared" si="2"/>
        <v>61.60746496860524</v>
      </c>
      <c r="F90" s="19">
        <f t="shared" si="3"/>
        <v>92.84455883328243</v>
      </c>
    </row>
    <row r="91" spans="1:6" ht="15">
      <c r="A91" s="37" t="s">
        <v>46</v>
      </c>
      <c r="B91" s="18">
        <f>B13+B22+B42+B34+B56+B63+B65+B68+B70+B75+B83+B49</f>
        <v>412861.50200000004</v>
      </c>
      <c r="C91" s="18">
        <f>C13+C22+C42+C34+C56+C63+C65+C68+C70+C75+C83+C49</f>
        <v>331068.613</v>
      </c>
      <c r="D91" s="18">
        <f>D13+D22+D42+D34+D56+D63+D65+D68+D70+D75+D83+D49</f>
        <v>202992.677</v>
      </c>
      <c r="E91" s="19">
        <f t="shared" si="2"/>
        <v>49.16725730460574</v>
      </c>
      <c r="F91" s="19">
        <f t="shared" si="3"/>
        <v>61.31438288896326</v>
      </c>
    </row>
    <row r="92" spans="1:6" ht="15">
      <c r="A92" s="37" t="s">
        <v>62</v>
      </c>
      <c r="B92" s="18">
        <f>SUM(B84)</f>
        <v>18345.229</v>
      </c>
      <c r="C92" s="18">
        <f>SUM(C84)</f>
        <v>13345.229000000001</v>
      </c>
      <c r="D92" s="18">
        <f>SUM(D84)</f>
        <v>13143.894</v>
      </c>
      <c r="E92" s="19">
        <f t="shared" si="2"/>
        <v>71.64747848064475</v>
      </c>
      <c r="F92" s="19">
        <f t="shared" si="3"/>
        <v>98.4913334945395</v>
      </c>
    </row>
    <row r="93" spans="1:6" ht="28.5">
      <c r="A93" s="37" t="s">
        <v>63</v>
      </c>
      <c r="B93" s="18">
        <f>SUM(B76)</f>
        <v>2500</v>
      </c>
      <c r="C93" s="18">
        <f>SUM(C76)</f>
        <v>400</v>
      </c>
      <c r="D93" s="18"/>
      <c r="E93" s="19">
        <f t="shared" si="2"/>
        <v>0</v>
      </c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2015-08-25T12:16:23Z</cp:lastPrinted>
  <dcterms:created xsi:type="dcterms:W3CDTF">2015-04-07T07:35:57Z</dcterms:created>
  <dcterms:modified xsi:type="dcterms:W3CDTF">2015-09-29T06:36:35Z</dcterms:modified>
  <cp:category/>
  <cp:version/>
  <cp:contentType/>
  <cp:contentStatus/>
</cp:coreProperties>
</file>