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<sst xmlns="http://schemas.openxmlformats.org/spreadsheetml/2006/main" count="190" uniqueCount="77">
  <si>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</si>
  <si>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</si>
  <si>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</si>
  <si>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</si>
  <si>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</si>
  <si>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</si>
  <si>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</si>
  <si>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</si>
  <si>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</si>
  <si>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</si>
  <si>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</si>
  <si>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</si>
  <si>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</si>
  <si>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</si>
  <si>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</si>
  <si>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</si>
  <si>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</si>
  <si>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</si>
  <si>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</si>
  <si>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</si>
  <si>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</si>
  <si>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</si>
  <si>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</si>
  <si>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</si>
  <si>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</si>
  <si>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</si>
  <si>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</si>
  <si>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</si>
  <si>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</si>
  <si>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</si>
  <si>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</si>
  <si>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</si>
  <si>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</si>
  <si>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</si>
  <si>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</si>
  <si>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</si>
  <si>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</si>
  <si>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</si>
  <si>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</si>
  <si>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</si>
  <si>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</si>
  <si>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</si>
  <si>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</si>
  <si>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</si>
  <si>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</si>
  <si>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</si>
  <si>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</si>
  <si>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</si>
  <si>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</si>
  <si>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</si>
  <si>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</si>
  <si>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</si>
  <si>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</si>
  <si>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</si>
  <si>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</si>
  <si>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</si>
  <si>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</si>
  <si>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</si>
  <si>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</si>
  <si>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</si>
  <si>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</si>
  <si>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</si>
  <si>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</si>
  <si>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</si>
  <si>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</si>
  <si>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</si>
  <si>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</si>
  <si>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</si>
  <si>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</si>
  <si>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</si>
  <si>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</si>
  <si>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</si>
  <si>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</si>
  <si>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</si>
  <si>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t>План на січень-листопад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</si>
  <si>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20 листопада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</si>
  <si>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20 ноября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</si>
</sst>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75" t="s">
        <v>72</v>
      </c>
      <c r="B1" s="75"/>
      <c r="C1" s="75"/>
      <c r="D1" s="75"/>
      <c r="E1" s="75"/>
      <c r="F1" s="75"/>
      <c r="G1" s="62"/>
      <c r="H1" s="62"/>
      <c r="I1" s="62"/>
      <c r="J1" s="62"/>
    </row>
    <row r="2" spans="1:10" s="1" customFormat="1" ht="12.75" customHeight="1">
      <c r="A2" s="13"/>
      <c r="B2" s="13"/>
      <c r="C2" s="13"/>
      <c r="D2" s="13"/>
      <c r="E2" s="13"/>
      <c r="F2" s="14"/>
      <c r="G2" s="62"/>
      <c r="H2" s="62"/>
      <c r="I2" s="62"/>
      <c r="J2" s="62"/>
    </row>
    <row r="3" spans="1:10" s="1" customFormat="1" ht="31.5" customHeight="1">
      <c r="A3" s="74"/>
      <c r="B3" s="74" t="s">
        <v>17</v>
      </c>
      <c r="C3" s="74" t="s">
        <v>74</v>
      </c>
      <c r="D3" s="76" t="s">
        <v>75</v>
      </c>
      <c r="E3" s="74" t="s">
        <v>15</v>
      </c>
      <c r="F3" s="74" t="s">
        <v>16</v>
      </c>
      <c r="G3" s="62"/>
      <c r="H3" s="62"/>
      <c r="I3" s="62"/>
      <c r="J3" s="62"/>
    </row>
    <row r="4" spans="1:10" s="1" customFormat="1" ht="33" customHeight="1">
      <c r="A4" s="74"/>
      <c r="B4" s="74"/>
      <c r="C4" s="74"/>
      <c r="D4" s="76"/>
      <c r="E4" s="74"/>
      <c r="F4" s="74"/>
      <c r="G4" s="62"/>
      <c r="H4" s="62"/>
      <c r="I4" s="62"/>
      <c r="J4" s="62"/>
    </row>
    <row r="5" spans="1:10" s="2" customFormat="1" ht="16.5" customHeight="1">
      <c r="A5" s="15" t="s">
        <v>3</v>
      </c>
      <c r="B5" s="16">
        <f>B6+B13</f>
        <v>597838.184</v>
      </c>
      <c r="C5" s="16">
        <f>C6+C13</f>
        <v>541415.11878</v>
      </c>
      <c r="D5" s="16">
        <f>D6+D13</f>
        <v>481147.076</v>
      </c>
      <c r="E5" s="17">
        <f>SUM(D5)/B5*100</f>
        <v>80.48115508125522</v>
      </c>
      <c r="F5" s="17">
        <f>SUM(D5)/C5*100</f>
        <v>88.86842264105863</v>
      </c>
      <c r="G5" s="63"/>
      <c r="H5" s="65"/>
      <c r="I5" s="65"/>
      <c r="J5" s="65"/>
    </row>
    <row r="6" spans="1:10" s="12" customFormat="1" ht="16.5" customHeight="1">
      <c r="A6" s="28" t="s">
        <v>34</v>
      </c>
      <c r="B6" s="53">
        <f>562310.395+15</f>
        <v>562325.395</v>
      </c>
      <c r="C6" s="23">
        <v>506364.32978</v>
      </c>
      <c r="D6" s="23">
        <f>455053.325+24.62</f>
        <v>455077.945</v>
      </c>
      <c r="E6" s="18">
        <f>SUM(D6)/B6*100</f>
        <v>80.92786650690033</v>
      </c>
      <c r="F6" s="18">
        <f>SUM(D6)/C6*100</f>
        <v>89.87164344647216</v>
      </c>
      <c r="G6" s="64"/>
      <c r="H6" s="66"/>
      <c r="I6" s="66"/>
      <c r="J6" s="66"/>
    </row>
    <row r="7" spans="1:10" s="3" customFormat="1" ht="14.25" customHeight="1">
      <c r="A7" s="10" t="s">
        <v>1</v>
      </c>
      <c r="B7" s="9">
        <f>312527.163</f>
        <v>312527.163</v>
      </c>
      <c r="C7" s="9">
        <v>285779.276</v>
      </c>
      <c r="D7" s="9">
        <v>263212.598</v>
      </c>
      <c r="E7" s="18">
        <f aca="true" t="shared" si="0" ref="E7:E73">SUM(D7)/B7*100</f>
        <v>84.22071076106751</v>
      </c>
      <c r="F7" s="18">
        <f aca="true" t="shared" si="1" ref="F7:F73">SUM(D7)/C7*100</f>
        <v>92.10345889461907</v>
      </c>
      <c r="G7" s="64"/>
      <c r="H7" s="64"/>
      <c r="I7" s="64"/>
      <c r="J7" s="64"/>
    </row>
    <row r="8" spans="1:10" s="3" customFormat="1" ht="15">
      <c r="A8" s="10" t="s">
        <v>29</v>
      </c>
      <c r="B8" s="9">
        <v>113569.19</v>
      </c>
      <c r="C8" s="9">
        <v>103994.549</v>
      </c>
      <c r="D8" s="9">
        <v>96183.53</v>
      </c>
      <c r="E8" s="18">
        <f t="shared" si="0"/>
        <v>84.69156995836634</v>
      </c>
      <c r="F8" s="18">
        <f t="shared" si="1"/>
        <v>92.4890111307661</v>
      </c>
      <c r="G8" s="64"/>
      <c r="H8" s="64"/>
      <c r="I8" s="64"/>
      <c r="J8" s="64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  <c r="G9" s="64"/>
      <c r="H9" s="64"/>
      <c r="I9" s="64"/>
      <c r="J9" s="64"/>
    </row>
    <row r="10" spans="1:10" s="3" customFormat="1" ht="15">
      <c r="A10" s="10" t="s">
        <v>5</v>
      </c>
      <c r="B10" s="9">
        <v>33349.211</v>
      </c>
      <c r="C10" s="9">
        <v>28481.877</v>
      </c>
      <c r="D10" s="9">
        <v>24756.108</v>
      </c>
      <c r="E10" s="18">
        <f t="shared" si="0"/>
        <v>74.23296461196638</v>
      </c>
      <c r="F10" s="18">
        <f t="shared" si="1"/>
        <v>86.91880805467981</v>
      </c>
      <c r="G10" s="64"/>
      <c r="H10" s="64"/>
      <c r="I10" s="64"/>
      <c r="J10" s="64"/>
    </row>
    <row r="11" spans="1:10" s="3" customFormat="1" ht="15">
      <c r="A11" s="10" t="s">
        <v>31</v>
      </c>
      <c r="B11" s="9">
        <v>78527.174</v>
      </c>
      <c r="C11" s="9">
        <v>64475.829</v>
      </c>
      <c r="D11" s="9">
        <f>51722.967+21.103</f>
        <v>51744.07</v>
      </c>
      <c r="E11" s="18">
        <f t="shared" si="0"/>
        <v>65.89320277844202</v>
      </c>
      <c r="F11" s="18">
        <f t="shared" si="1"/>
        <v>80.25343885070481</v>
      </c>
      <c r="G11" s="64"/>
      <c r="H11" s="64"/>
      <c r="I11" s="64"/>
      <c r="J11" s="64"/>
    </row>
    <row r="12" spans="1:10" s="3" customFormat="1" ht="15">
      <c r="A12" s="10" t="s">
        <v>13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19109.184340000014</v>
      </c>
      <c r="E12" s="18">
        <f t="shared" si="0"/>
        <v>78.70478900573613</v>
      </c>
      <c r="F12" s="18">
        <f t="shared" si="1"/>
        <v>81.10958452480716</v>
      </c>
      <c r="G12" s="64"/>
      <c r="H12" s="64"/>
      <c r="I12" s="64"/>
      <c r="J12" s="64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35050.789</v>
      </c>
      <c r="D13" s="23">
        <v>26069.131</v>
      </c>
      <c r="E13" s="18">
        <f t="shared" si="0"/>
        <v>73.40772643905834</v>
      </c>
      <c r="F13" s="18">
        <f t="shared" si="1"/>
        <v>74.37530436190752</v>
      </c>
      <c r="G13" s="64"/>
      <c r="H13" s="64"/>
      <c r="I13" s="64"/>
      <c r="J13" s="64"/>
    </row>
    <row r="14" spans="1:10" s="2" customFormat="1" ht="14.25">
      <c r="A14" s="15" t="s">
        <v>6</v>
      </c>
      <c r="B14" s="16">
        <f>B15+B22</f>
        <v>373273.95</v>
      </c>
      <c r="C14" s="16">
        <f>C15+C22</f>
        <v>344544.11655999994</v>
      </c>
      <c r="D14" s="16">
        <f>D15+D22</f>
        <v>308471.572</v>
      </c>
      <c r="E14" s="17">
        <f t="shared" si="0"/>
        <v>82.63945876748163</v>
      </c>
      <c r="F14" s="17">
        <f t="shared" si="1"/>
        <v>89.53035538085639</v>
      </c>
      <c r="G14" s="65"/>
      <c r="H14" s="65"/>
      <c r="I14" s="65"/>
      <c r="J14" s="65"/>
    </row>
    <row r="15" spans="1:10" s="12" customFormat="1" ht="15">
      <c r="A15" s="28" t="s">
        <v>33</v>
      </c>
      <c r="B15" s="23">
        <f>327920.177+25068</f>
        <v>352988.177</v>
      </c>
      <c r="C15" s="23">
        <f>301269.02056+22989.323</f>
        <v>324258.34355999995</v>
      </c>
      <c r="D15" s="23">
        <f>268455.039+1071.824+21949.984</f>
        <v>291476.847</v>
      </c>
      <c r="E15" s="18">
        <f>SUM(D15)/B15*100</f>
        <v>82.57411040710295</v>
      </c>
      <c r="F15" s="18">
        <f>SUM(D15)/C15*100</f>
        <v>89.89031517274307</v>
      </c>
      <c r="G15" s="66"/>
      <c r="H15" s="66"/>
      <c r="I15" s="66"/>
      <c r="J15" s="66"/>
    </row>
    <row r="16" spans="1:10" s="3" customFormat="1" ht="15">
      <c r="A16" s="10" t="s">
        <v>1</v>
      </c>
      <c r="B16" s="9">
        <v>138388.382</v>
      </c>
      <c r="C16" s="9">
        <v>127052.352</v>
      </c>
      <c r="D16" s="9">
        <v>117382.881</v>
      </c>
      <c r="E16" s="18">
        <f t="shared" si="0"/>
        <v>84.82134071052293</v>
      </c>
      <c r="F16" s="18">
        <f t="shared" si="1"/>
        <v>92.38938056022764</v>
      </c>
      <c r="G16" s="64"/>
      <c r="H16" s="64"/>
      <c r="I16" s="64"/>
      <c r="J16" s="64"/>
    </row>
    <row r="17" spans="1:10" s="3" customFormat="1" ht="15">
      <c r="A17" s="10" t="s">
        <v>29</v>
      </c>
      <c r="B17" s="9">
        <v>49725.957</v>
      </c>
      <c r="C17" s="9">
        <v>45759.225</v>
      </c>
      <c r="D17" s="9">
        <v>41701.739</v>
      </c>
      <c r="E17" s="18">
        <f t="shared" si="0"/>
        <v>83.86312001999278</v>
      </c>
      <c r="F17" s="18">
        <f t="shared" si="1"/>
        <v>91.13296608498068</v>
      </c>
      <c r="G17" s="64"/>
      <c r="H17" s="64"/>
      <c r="I17" s="64"/>
      <c r="J17" s="64"/>
    </row>
    <row r="18" spans="1:10" s="3" customFormat="1" ht="15">
      <c r="A18" s="10" t="s">
        <v>4</v>
      </c>
      <c r="B18" s="56">
        <v>11594.27</v>
      </c>
      <c r="C18" s="9">
        <v>10820.22</v>
      </c>
      <c r="D18" s="9">
        <f>10393.65+24.68</f>
        <v>10418.33</v>
      </c>
      <c r="E18" s="18">
        <f t="shared" si="0"/>
        <v>89.85757619927774</v>
      </c>
      <c r="F18" s="18">
        <f t="shared" si="1"/>
        <v>96.28575019731576</v>
      </c>
      <c r="G18" s="64"/>
      <c r="H18" s="64"/>
      <c r="I18" s="64"/>
      <c r="J18" s="64"/>
    </row>
    <row r="19" spans="1:10" s="3" customFormat="1" ht="15">
      <c r="A19" s="10" t="s">
        <v>5</v>
      </c>
      <c r="B19" s="9">
        <v>4056.884</v>
      </c>
      <c r="C19" s="9">
        <v>3736</v>
      </c>
      <c r="D19" s="9">
        <f>3570.877+51.143</f>
        <v>3622.02</v>
      </c>
      <c r="E19" s="18">
        <f t="shared" si="0"/>
        <v>89.28083721397999</v>
      </c>
      <c r="F19" s="18">
        <f t="shared" si="1"/>
        <v>96.94914346895075</v>
      </c>
      <c r="G19" s="64"/>
      <c r="H19" s="64"/>
      <c r="I19" s="64"/>
      <c r="J19" s="64"/>
    </row>
    <row r="20" spans="1:10" s="3" customFormat="1" ht="15">
      <c r="A20" s="10" t="s">
        <v>31</v>
      </c>
      <c r="B20" s="9">
        <v>30224.41</v>
      </c>
      <c r="C20" s="9">
        <v>27198.729</v>
      </c>
      <c r="D20" s="9">
        <f>20100.221+341.901</f>
        <v>20442.122000000003</v>
      </c>
      <c r="E20" s="18">
        <f t="shared" si="0"/>
        <v>67.6344782247197</v>
      </c>
      <c r="F20" s="18">
        <f t="shared" si="1"/>
        <v>75.15837229011694</v>
      </c>
      <c r="G20" s="64"/>
      <c r="H20" s="64"/>
      <c r="I20" s="64"/>
      <c r="J20" s="64"/>
    </row>
    <row r="21" spans="1:10" s="3" customFormat="1" ht="15">
      <c r="A21" s="54" t="s">
        <v>13</v>
      </c>
      <c r="B21" s="9">
        <f>SUM(B15)-B16-B17-B18-B19-B20</f>
        <v>118998.27400000003</v>
      </c>
      <c r="C21" s="9">
        <f>SUM(C15)-C16-C17-C18-C19-C20</f>
        <v>109691.81755999994</v>
      </c>
      <c r="D21" s="9">
        <f>SUM(D15)-D16-D17-D18-D19-D20</f>
        <v>97909.755</v>
      </c>
      <c r="E21" s="18">
        <f t="shared" si="0"/>
        <v>82.27829842305106</v>
      </c>
      <c r="F21" s="18">
        <f t="shared" si="1"/>
        <v>89.25894125735012</v>
      </c>
      <c r="G21" s="64"/>
      <c r="H21" s="64"/>
      <c r="I21" s="64"/>
      <c r="J21" s="64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f>16994.37+0.355</f>
        <v>16994.725</v>
      </c>
      <c r="E22" s="18">
        <f t="shared" si="0"/>
        <v>83.77657090020675</v>
      </c>
      <c r="F22" s="18">
        <f t="shared" si="1"/>
        <v>83.77657090020675</v>
      </c>
      <c r="G22" s="64"/>
      <c r="H22" s="64"/>
      <c r="I22" s="64"/>
      <c r="J22" s="64"/>
    </row>
    <row r="23" spans="1:10" s="2" customFormat="1" ht="28.5">
      <c r="A23" s="15" t="s">
        <v>28</v>
      </c>
      <c r="B23" s="16">
        <f>B24+B34</f>
        <v>700089.562</v>
      </c>
      <c r="C23" s="16">
        <f>C24+C34</f>
        <v>539803.298</v>
      </c>
      <c r="D23" s="16">
        <f>D24+D34</f>
        <v>487772.38</v>
      </c>
      <c r="E23" s="17">
        <f t="shared" si="0"/>
        <v>69.67285422832799</v>
      </c>
      <c r="F23" s="17">
        <f t="shared" si="1"/>
        <v>90.36113373282873</v>
      </c>
      <c r="G23" s="65"/>
      <c r="H23" s="65"/>
      <c r="I23" s="65"/>
      <c r="J23" s="65"/>
    </row>
    <row r="24" spans="1:10" s="12" customFormat="1" ht="15">
      <c r="A24" s="28" t="s">
        <v>33</v>
      </c>
      <c r="B24" s="23">
        <v>696905.234</v>
      </c>
      <c r="C24" s="23">
        <v>536669.205</v>
      </c>
      <c r="D24" s="23">
        <v>486640.081</v>
      </c>
      <c r="E24" s="18">
        <f>SUM(D24)/B24*100</f>
        <v>69.82873097492048</v>
      </c>
      <c r="F24" s="18">
        <f>SUM(D24)/C24*100</f>
        <v>90.67784707341276</v>
      </c>
      <c r="G24" s="66"/>
      <c r="H24" s="66"/>
      <c r="I24" s="66"/>
      <c r="J24" s="66"/>
    </row>
    <row r="25" spans="1:10" s="3" customFormat="1" ht="15">
      <c r="A25" s="10" t="s">
        <v>1</v>
      </c>
      <c r="B25" s="9">
        <v>11580.045</v>
      </c>
      <c r="C25" s="9">
        <v>10335.523</v>
      </c>
      <c r="D25" s="9">
        <v>9607.796</v>
      </c>
      <c r="E25" s="18">
        <f t="shared" si="0"/>
        <v>82.96855495811977</v>
      </c>
      <c r="F25" s="18">
        <f t="shared" si="1"/>
        <v>92.9589726615673</v>
      </c>
      <c r="G25" s="64"/>
      <c r="H25" s="64"/>
      <c r="I25" s="64"/>
      <c r="J25" s="64"/>
    </row>
    <row r="26" spans="1:10" s="3" customFormat="1" ht="15">
      <c r="A26" s="10" t="s">
        <v>29</v>
      </c>
      <c r="B26" s="9">
        <v>4160.428</v>
      </c>
      <c r="C26" s="9">
        <v>3726.599</v>
      </c>
      <c r="D26" s="9">
        <v>3457.893</v>
      </c>
      <c r="E26" s="18">
        <f t="shared" si="0"/>
        <v>83.11387674537332</v>
      </c>
      <c r="F26" s="18">
        <f t="shared" si="1"/>
        <v>92.7895112943464</v>
      </c>
      <c r="G26" s="64"/>
      <c r="H26" s="64"/>
      <c r="I26" s="64"/>
      <c r="J26" s="64"/>
    </row>
    <row r="27" spans="1:10" s="3" customFormat="1" ht="15">
      <c r="A27" s="10" t="s">
        <v>4</v>
      </c>
      <c r="B27" s="9">
        <v>77.62</v>
      </c>
      <c r="C27" s="9">
        <v>76.38</v>
      </c>
      <c r="D27" s="9">
        <v>76.38</v>
      </c>
      <c r="E27" s="18">
        <f t="shared" si="0"/>
        <v>98.4024735892811</v>
      </c>
      <c r="F27" s="18">
        <f t="shared" si="1"/>
        <v>100</v>
      </c>
      <c r="G27" s="64"/>
      <c r="H27" s="64"/>
      <c r="I27" s="64"/>
      <c r="J27" s="64"/>
    </row>
    <row r="28" spans="1:10" s="3" customFormat="1" ht="15">
      <c r="A28" s="10" t="s">
        <v>5</v>
      </c>
      <c r="B28" s="9">
        <v>138.829</v>
      </c>
      <c r="C28" s="9">
        <v>132.1</v>
      </c>
      <c r="D28" s="9">
        <v>132.1</v>
      </c>
      <c r="E28" s="18">
        <f t="shared" si="0"/>
        <v>95.15302998653019</v>
      </c>
      <c r="F28" s="18">
        <f t="shared" si="1"/>
        <v>100</v>
      </c>
      <c r="G28" s="64"/>
      <c r="H28" s="64"/>
      <c r="I28" s="64"/>
      <c r="J28" s="64"/>
    </row>
    <row r="29" spans="1:10" s="3" customFormat="1" ht="15">
      <c r="A29" s="10" t="s">
        <v>31</v>
      </c>
      <c r="B29" s="9">
        <v>1150.295</v>
      </c>
      <c r="C29" s="9">
        <v>930.457</v>
      </c>
      <c r="D29" s="9">
        <v>721.141</v>
      </c>
      <c r="E29" s="18">
        <f t="shared" si="0"/>
        <v>62.69183122590292</v>
      </c>
      <c r="F29" s="18">
        <f t="shared" si="1"/>
        <v>77.50395773259807</v>
      </c>
      <c r="G29" s="64"/>
      <c r="H29" s="64"/>
      <c r="I29" s="64"/>
      <c r="J29" s="64"/>
    </row>
    <row r="30" spans="1:10" s="3" customFormat="1" ht="15">
      <c r="A30" s="10" t="s">
        <v>13</v>
      </c>
      <c r="B30" s="9">
        <f>SUM(B24)-B25-B26-B27-B28-B29</f>
        <v>679798.017</v>
      </c>
      <c r="C30" s="9">
        <f>SUM(C24)-C25-C26-C27-C28-C29</f>
        <v>521468.14599999995</v>
      </c>
      <c r="D30" s="9">
        <f>SUM(D24)-D25-D26-D27-D28-D29</f>
        <v>472644.77100000007</v>
      </c>
      <c r="E30" s="18">
        <f t="shared" si="0"/>
        <v>69.52723591131041</v>
      </c>
      <c r="F30" s="18">
        <f t="shared" si="1"/>
        <v>90.63732360749033</v>
      </c>
      <c r="G30" s="64"/>
      <c r="H30" s="64"/>
      <c r="I30" s="64"/>
      <c r="J30" s="64"/>
    </row>
    <row r="31" spans="1:10" s="3" customFormat="1" ht="15">
      <c r="A31" s="10" t="s">
        <v>20</v>
      </c>
      <c r="B31" s="9">
        <f>SUM(B32:B33)</f>
        <v>664987.23</v>
      </c>
      <c r="C31" s="9">
        <f>SUM(C32:C33)</f>
        <v>507453.459</v>
      </c>
      <c r="D31" s="9">
        <f>SUM(D32:D33)</f>
        <v>460141.67500000005</v>
      </c>
      <c r="E31" s="18">
        <f>SUM(D31)/B31*100</f>
        <v>69.19556560507185</v>
      </c>
      <c r="F31" s="18">
        <f>SUM(D31)/C31*100</f>
        <v>90.676625972117</v>
      </c>
      <c r="G31" s="64"/>
      <c r="H31" s="64"/>
      <c r="I31" s="64"/>
      <c r="J31" s="64"/>
    </row>
    <row r="32" spans="1:10" s="3" customFormat="1" ht="30">
      <c r="A32" s="11" t="s">
        <v>24</v>
      </c>
      <c r="B32" s="9">
        <v>431369.7</v>
      </c>
      <c r="C32" s="9">
        <v>390326.551</v>
      </c>
      <c r="D32" s="9">
        <v>375276.585</v>
      </c>
      <c r="E32" s="18">
        <f>SUM(D32)/B32*100</f>
        <v>86.99651018604227</v>
      </c>
      <c r="F32" s="18">
        <f>SUM(D32)/C32*100</f>
        <v>96.14426280727186</v>
      </c>
      <c r="G32" s="64"/>
      <c r="H32" s="64"/>
      <c r="I32" s="64"/>
      <c r="J32" s="64"/>
    </row>
    <row r="33" spans="1:10" s="3" customFormat="1" ht="15">
      <c r="A33" s="11" t="s">
        <v>21</v>
      </c>
      <c r="B33" s="9">
        <v>233617.53</v>
      </c>
      <c r="C33" s="9">
        <v>117126.908</v>
      </c>
      <c r="D33" s="9">
        <v>84865.09</v>
      </c>
      <c r="E33" s="18">
        <f>SUM(D33)/B33*100</f>
        <v>36.32650768972688</v>
      </c>
      <c r="F33" s="18">
        <f>SUM(D33)/C33*100</f>
        <v>72.45567346488819</v>
      </c>
      <c r="G33" s="64"/>
      <c r="H33" s="64"/>
      <c r="I33" s="64"/>
      <c r="J33" s="64"/>
    </row>
    <row r="34" spans="1:10" s="3" customFormat="1" ht="15">
      <c r="A34" s="28" t="s">
        <v>14</v>
      </c>
      <c r="B34" s="23">
        <v>3184.328</v>
      </c>
      <c r="C34" s="23">
        <v>3134.093</v>
      </c>
      <c r="D34" s="23">
        <v>1132.299</v>
      </c>
      <c r="E34" s="18">
        <f>SUM(D34)/B34*100</f>
        <v>35.55849146193483</v>
      </c>
      <c r="F34" s="18">
        <f>SUM(D34)/C34*100</f>
        <v>36.128442901981536</v>
      </c>
      <c r="G34" s="64"/>
      <c r="H34" s="64"/>
      <c r="I34" s="64"/>
      <c r="J34" s="64"/>
    </row>
    <row r="35" spans="1:10" s="3" customFormat="1" ht="15">
      <c r="A35" s="10" t="s">
        <v>68</v>
      </c>
      <c r="B35" s="9">
        <v>156.528</v>
      </c>
      <c r="C35" s="9">
        <v>106.293</v>
      </c>
      <c r="D35" s="9">
        <v>58.293</v>
      </c>
      <c r="E35" s="18">
        <f>SUM(D35)/B35*100</f>
        <v>37.24126034958602</v>
      </c>
      <c r="F35" s="18">
        <f>SUM(D35)/C35*100</f>
        <v>54.841805198837164</v>
      </c>
      <c r="G35" s="64"/>
      <c r="H35" s="64"/>
      <c r="I35" s="64"/>
      <c r="J35" s="64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88493.135</v>
      </c>
      <c r="D36" s="16">
        <f>D37+D42</f>
        <v>73373.30799999999</v>
      </c>
      <c r="E36" s="17">
        <f t="shared" si="0"/>
        <v>75.7470321344541</v>
      </c>
      <c r="F36" s="17">
        <f t="shared" si="1"/>
        <v>82.91412435552203</v>
      </c>
      <c r="G36" s="65"/>
      <c r="H36" s="65"/>
      <c r="I36" s="65"/>
      <c r="J36" s="65"/>
    </row>
    <row r="37" spans="1:10" s="12" customFormat="1" ht="15">
      <c r="A37" s="28" t="s">
        <v>33</v>
      </c>
      <c r="B37" s="23">
        <v>77949.817</v>
      </c>
      <c r="C37" s="23">
        <v>69776.704</v>
      </c>
      <c r="D37" s="23">
        <f>62330.337+36.17</f>
        <v>62366.507</v>
      </c>
      <c r="E37" s="18">
        <f>SUM(D37)/B37*100</f>
        <v>80.00853549149448</v>
      </c>
      <c r="F37" s="18">
        <f>SUM(D37)/C37*100</f>
        <v>89.38012749928687</v>
      </c>
      <c r="G37" s="66"/>
      <c r="H37" s="66"/>
      <c r="I37" s="66"/>
      <c r="J37" s="66"/>
    </row>
    <row r="38" spans="1:10" s="3" customFormat="1" ht="15">
      <c r="A38" s="10" t="s">
        <v>1</v>
      </c>
      <c r="B38" s="9">
        <v>33097.391</v>
      </c>
      <c r="C38" s="9">
        <v>30186.763</v>
      </c>
      <c r="D38" s="9">
        <v>27829.38</v>
      </c>
      <c r="E38" s="18">
        <f t="shared" si="0"/>
        <v>84.08330433054375</v>
      </c>
      <c r="F38" s="18">
        <f t="shared" si="1"/>
        <v>92.19067311059487</v>
      </c>
      <c r="G38" s="64"/>
      <c r="H38" s="64"/>
      <c r="I38" s="64"/>
      <c r="J38" s="64"/>
    </row>
    <row r="39" spans="1:10" s="3" customFormat="1" ht="15">
      <c r="A39" s="10" t="s">
        <v>29</v>
      </c>
      <c r="B39" s="9">
        <v>12091.034</v>
      </c>
      <c r="C39" s="9">
        <v>11049.933</v>
      </c>
      <c r="D39" s="9">
        <v>10085.475</v>
      </c>
      <c r="E39" s="18">
        <f t="shared" si="0"/>
        <v>83.41284128388028</v>
      </c>
      <c r="F39" s="18">
        <f t="shared" si="1"/>
        <v>91.27182038117336</v>
      </c>
      <c r="G39" s="64"/>
      <c r="H39" s="64"/>
      <c r="I39" s="64"/>
      <c r="J39" s="64"/>
    </row>
    <row r="40" spans="1:10" s="3" customFormat="1" ht="15">
      <c r="A40" s="10" t="s">
        <v>31</v>
      </c>
      <c r="B40" s="9">
        <v>5631.026</v>
      </c>
      <c r="C40" s="9">
        <v>4417.978</v>
      </c>
      <c r="D40" s="9">
        <f>3521.728+14.424</f>
        <v>3536.152</v>
      </c>
      <c r="E40" s="18">
        <f t="shared" si="0"/>
        <v>62.79765001972998</v>
      </c>
      <c r="F40" s="18">
        <f t="shared" si="1"/>
        <v>80.04005452267982</v>
      </c>
      <c r="G40" s="64"/>
      <c r="H40" s="64"/>
      <c r="I40" s="64"/>
      <c r="J40" s="64"/>
    </row>
    <row r="41" spans="1:10" s="3" customFormat="1" ht="15">
      <c r="A41" s="10" t="s">
        <v>13</v>
      </c>
      <c r="B41" s="9">
        <f>SUM(B37)-B38-B39-B40</f>
        <v>27130.365999999995</v>
      </c>
      <c r="C41" s="9">
        <f>SUM(C37)-C38-C39-C40</f>
        <v>24122.03</v>
      </c>
      <c r="D41" s="9">
        <f>SUM(D37)-D38-D39-D40</f>
        <v>20915.499999999993</v>
      </c>
      <c r="E41" s="18">
        <f t="shared" si="0"/>
        <v>77.09258326997873</v>
      </c>
      <c r="F41" s="18">
        <f t="shared" si="1"/>
        <v>86.70704745827774</v>
      </c>
      <c r="G41" s="64"/>
      <c r="H41" s="64"/>
      <c r="I41" s="64"/>
      <c r="J41" s="64"/>
    </row>
    <row r="42" spans="1:10" s="3" customFormat="1" ht="15">
      <c r="A42" s="28" t="s">
        <v>14</v>
      </c>
      <c r="B42" s="23">
        <f>8951+9965.431</f>
        <v>18916.431</v>
      </c>
      <c r="C42" s="23">
        <v>18716.431</v>
      </c>
      <c r="D42" s="23">
        <v>11006.801</v>
      </c>
      <c r="E42" s="18">
        <f t="shared" si="0"/>
        <v>58.186457054187436</v>
      </c>
      <c r="F42" s="18">
        <f t="shared" si="1"/>
        <v>58.80822577766027</v>
      </c>
      <c r="G42" s="64"/>
      <c r="H42" s="64"/>
      <c r="I42" s="64"/>
      <c r="J42" s="64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41854.769</v>
      </c>
      <c r="D43" s="16">
        <f>D44+D49</f>
        <v>36824.034</v>
      </c>
      <c r="E43" s="17">
        <f t="shared" si="0"/>
        <v>80.26855238009749</v>
      </c>
      <c r="F43" s="17">
        <f t="shared" si="1"/>
        <v>87.98049751510992</v>
      </c>
      <c r="G43" s="65"/>
      <c r="H43" s="65"/>
      <c r="I43" s="65"/>
      <c r="J43" s="65"/>
    </row>
    <row r="44" spans="1:10" s="12" customFormat="1" ht="15">
      <c r="A44" s="28" t="s">
        <v>33</v>
      </c>
      <c r="B44" s="23">
        <v>40360.364</v>
      </c>
      <c r="C44" s="23">
        <v>36339.092</v>
      </c>
      <c r="D44" s="23">
        <f>32874.65+3.397</f>
        <v>32878.047</v>
      </c>
      <c r="E44" s="18">
        <f>SUM(D44)/B44*100</f>
        <v>81.4612251762645</v>
      </c>
      <c r="F44" s="18">
        <f>SUM(D44)/C44*100</f>
        <v>90.47569763163042</v>
      </c>
      <c r="G44" s="66"/>
      <c r="H44" s="66"/>
      <c r="I44" s="66"/>
      <c r="J44" s="66"/>
    </row>
    <row r="45" spans="1:10" s="3" customFormat="1" ht="15">
      <c r="A45" s="10" t="s">
        <v>1</v>
      </c>
      <c r="B45" s="9">
        <v>20371.66</v>
      </c>
      <c r="C45" s="9">
        <v>18397.533</v>
      </c>
      <c r="D45" s="9">
        <v>16879.542</v>
      </c>
      <c r="E45" s="18">
        <f t="shared" si="0"/>
        <v>82.85796051966311</v>
      </c>
      <c r="F45" s="18">
        <f t="shared" si="1"/>
        <v>91.74894264355989</v>
      </c>
      <c r="G45" s="64"/>
      <c r="H45" s="64"/>
      <c r="I45" s="64"/>
      <c r="J45" s="64"/>
    </row>
    <row r="46" spans="1:10" s="3" customFormat="1" ht="15">
      <c r="A46" s="10" t="s">
        <v>29</v>
      </c>
      <c r="B46" s="9">
        <v>7320.765</v>
      </c>
      <c r="C46" s="9">
        <v>6613.967</v>
      </c>
      <c r="D46" s="9">
        <v>6069.847</v>
      </c>
      <c r="E46" s="18">
        <f t="shared" si="0"/>
        <v>82.91274204266902</v>
      </c>
      <c r="F46" s="18">
        <f t="shared" si="1"/>
        <v>91.77316729883896</v>
      </c>
      <c r="G46" s="64"/>
      <c r="H46" s="64"/>
      <c r="I46" s="64"/>
      <c r="J46" s="64"/>
    </row>
    <row r="47" spans="1:10" s="3" customFormat="1" ht="15">
      <c r="A47" s="10" t="s">
        <v>31</v>
      </c>
      <c r="B47" s="9">
        <v>3303.442</v>
      </c>
      <c r="C47" s="9">
        <v>2684.241</v>
      </c>
      <c r="D47" s="9">
        <f>2048.784+3.397</f>
        <v>2052.181</v>
      </c>
      <c r="E47" s="18">
        <f t="shared" si="0"/>
        <v>62.122507372613164</v>
      </c>
      <c r="F47" s="18">
        <f t="shared" si="1"/>
        <v>76.4529339951219</v>
      </c>
      <c r="G47" s="64"/>
      <c r="H47" s="64"/>
      <c r="I47" s="64"/>
      <c r="J47" s="64"/>
    </row>
    <row r="48" spans="1:10" s="3" customFormat="1" ht="15">
      <c r="A48" s="10" t="s">
        <v>13</v>
      </c>
      <c r="B48" s="9">
        <f>SUM(B44)-B45-B46-B47</f>
        <v>9364.497000000003</v>
      </c>
      <c r="C48" s="9">
        <f>SUM(C44)-C45-C46-C47</f>
        <v>8643.350999999997</v>
      </c>
      <c r="D48" s="9">
        <f>SUM(D44)-D45-D46-D47</f>
        <v>7876.476999999997</v>
      </c>
      <c r="E48" s="18">
        <f t="shared" si="0"/>
        <v>84.10998476479831</v>
      </c>
      <c r="F48" s="18">
        <f t="shared" si="1"/>
        <v>91.12758466016247</v>
      </c>
      <c r="G48" s="64"/>
      <c r="H48" s="64"/>
      <c r="I48" s="64"/>
      <c r="J48" s="64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v>3945.987</v>
      </c>
      <c r="E49" s="18">
        <f t="shared" si="0"/>
        <v>71.54129946332971</v>
      </c>
      <c r="F49" s="18">
        <f t="shared" si="1"/>
        <v>71.54129946332971</v>
      </c>
      <c r="G49" s="64"/>
      <c r="H49" s="64"/>
      <c r="I49" s="64"/>
      <c r="J49" s="64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72260.516</v>
      </c>
      <c r="D50" s="16">
        <f>D51+D56</f>
        <v>64713.443</v>
      </c>
      <c r="E50" s="17">
        <f t="shared" si="0"/>
        <v>81.80050511115353</v>
      </c>
      <c r="F50" s="17">
        <f t="shared" si="1"/>
        <v>89.55574438466506</v>
      </c>
      <c r="G50" s="64"/>
      <c r="H50" s="64"/>
      <c r="I50" s="64"/>
      <c r="J50" s="64"/>
    </row>
    <row r="51" spans="1:10" s="3" customFormat="1" ht="15">
      <c r="A51" s="28" t="s">
        <v>33</v>
      </c>
      <c r="B51" s="23">
        <f>74795.85-89.88</f>
        <v>74705.97</v>
      </c>
      <c r="C51" s="23">
        <v>67855.186</v>
      </c>
      <c r="D51" s="23">
        <v>61313.227</v>
      </c>
      <c r="E51" s="18">
        <f>SUM(D51)/B51*100</f>
        <v>82.072727253257</v>
      </c>
      <c r="F51" s="18">
        <f>SUM(D51)/C51*100</f>
        <v>90.35894028792434</v>
      </c>
      <c r="G51" s="64"/>
      <c r="H51" s="64"/>
      <c r="I51" s="64"/>
      <c r="J51" s="64"/>
    </row>
    <row r="52" spans="1:10" s="3" customFormat="1" ht="15">
      <c r="A52" s="10" t="s">
        <v>1</v>
      </c>
      <c r="B52" s="9">
        <v>41542.044</v>
      </c>
      <c r="C52" s="9">
        <v>37557.94</v>
      </c>
      <c r="D52" s="9">
        <v>34682.969</v>
      </c>
      <c r="E52" s="18">
        <f t="shared" si="0"/>
        <v>83.48883603320047</v>
      </c>
      <c r="F52" s="18">
        <f t="shared" si="1"/>
        <v>92.34523778460691</v>
      </c>
      <c r="G52" s="64"/>
      <c r="H52" s="64"/>
      <c r="I52" s="64"/>
      <c r="J52" s="64"/>
    </row>
    <row r="53" spans="1:10" s="3" customFormat="1" ht="15">
      <c r="A53" s="10" t="s">
        <v>29</v>
      </c>
      <c r="B53" s="9">
        <v>15008.932</v>
      </c>
      <c r="C53" s="9">
        <v>13661.424</v>
      </c>
      <c r="D53" s="9">
        <v>12548.004</v>
      </c>
      <c r="E53" s="18">
        <f t="shared" si="0"/>
        <v>83.60357685676769</v>
      </c>
      <c r="F53" s="18">
        <f t="shared" si="1"/>
        <v>91.84989793157726</v>
      </c>
      <c r="G53" s="64"/>
      <c r="H53" s="64"/>
      <c r="I53" s="64"/>
      <c r="J53" s="64"/>
    </row>
    <row r="54" spans="1:10" s="3" customFormat="1" ht="15">
      <c r="A54" s="10" t="s">
        <v>31</v>
      </c>
      <c r="B54" s="9">
        <v>4210.676</v>
      </c>
      <c r="C54" s="9">
        <v>3554.652</v>
      </c>
      <c r="D54" s="9">
        <v>2661.211</v>
      </c>
      <c r="E54" s="18">
        <f t="shared" si="0"/>
        <v>63.20151443616179</v>
      </c>
      <c r="F54" s="18">
        <f t="shared" si="1"/>
        <v>74.86558459168435</v>
      </c>
      <c r="G54" s="64"/>
      <c r="H54" s="64"/>
      <c r="I54" s="64"/>
      <c r="J54" s="64"/>
    </row>
    <row r="55" spans="1:10" s="3" customFormat="1" ht="15">
      <c r="A55" s="10" t="s">
        <v>13</v>
      </c>
      <c r="B55" s="9">
        <f>SUM(B51)-B52-B53-B54</f>
        <v>13944.318</v>
      </c>
      <c r="C55" s="9">
        <f>SUM(C51)-C52-C53-C54</f>
        <v>13081.17</v>
      </c>
      <c r="D55" s="9">
        <f>SUM(D51)-D52-D53-D54</f>
        <v>11421.043000000001</v>
      </c>
      <c r="E55" s="18">
        <f t="shared" si="0"/>
        <v>81.90463671296081</v>
      </c>
      <c r="F55" s="18">
        <f t="shared" si="1"/>
        <v>87.30903275471537</v>
      </c>
      <c r="G55" s="64"/>
      <c r="H55" s="64"/>
      <c r="I55" s="64"/>
      <c r="J55" s="64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3400.216</v>
      </c>
      <c r="E56" s="18">
        <f t="shared" si="0"/>
        <v>77.18413830518939</v>
      </c>
      <c r="F56" s="18">
        <f t="shared" si="1"/>
        <v>77.18413830518939</v>
      </c>
      <c r="G56" s="64"/>
      <c r="H56" s="64"/>
      <c r="I56" s="64"/>
      <c r="J56" s="64"/>
    </row>
    <row r="57" spans="1:10" s="3" customFormat="1" ht="14.25" customHeight="1">
      <c r="A57" s="19" t="s">
        <v>9</v>
      </c>
      <c r="B57" s="20">
        <f>B58+B63</f>
        <v>294005.634</v>
      </c>
      <c r="C57" s="20">
        <f>C58+C63</f>
        <v>280974.653</v>
      </c>
      <c r="D57" s="20">
        <f>D58+D63</f>
        <v>216548.57789999997</v>
      </c>
      <c r="E57" s="17">
        <f t="shared" si="0"/>
        <v>73.65456741553461</v>
      </c>
      <c r="F57" s="17">
        <f t="shared" si="1"/>
        <v>77.07050283286586</v>
      </c>
      <c r="G57" s="64"/>
      <c r="H57" s="64"/>
      <c r="I57" s="64"/>
      <c r="J57" s="64"/>
    </row>
    <row r="58" spans="1:10" s="3" customFormat="1" ht="14.25" customHeight="1">
      <c r="A58" s="28" t="s">
        <v>33</v>
      </c>
      <c r="B58" s="23">
        <v>194005.428</v>
      </c>
      <c r="C58" s="23">
        <v>180974.447</v>
      </c>
      <c r="D58" s="23">
        <f>127526.3153+1117.002+10791.2016</f>
        <v>139434.5189</v>
      </c>
      <c r="E58" s="18">
        <f>SUM(D58)/B58*100</f>
        <v>71.87145243173299</v>
      </c>
      <c r="F58" s="18">
        <f>SUM(D58)/C58*100</f>
        <v>77.04652298233022</v>
      </c>
      <c r="G58" s="64"/>
      <c r="H58" s="64"/>
      <c r="I58" s="64"/>
      <c r="J58" s="64"/>
    </row>
    <row r="59" spans="1:10" s="3" customFormat="1" ht="15">
      <c r="A59" s="10" t="s">
        <v>1</v>
      </c>
      <c r="B59" s="9">
        <v>423.637</v>
      </c>
      <c r="C59" s="9">
        <v>410.845</v>
      </c>
      <c r="D59" s="9">
        <v>344.226</v>
      </c>
      <c r="E59" s="18">
        <f t="shared" si="0"/>
        <v>81.25494232090209</v>
      </c>
      <c r="F59" s="18">
        <f t="shared" si="1"/>
        <v>83.78488237656536</v>
      </c>
      <c r="G59" s="64"/>
      <c r="H59" s="64"/>
      <c r="I59" s="64"/>
      <c r="J59" s="64"/>
    </row>
    <row r="60" spans="1:10" s="3" customFormat="1" ht="15">
      <c r="A60" s="10" t="s">
        <v>29</v>
      </c>
      <c r="B60" s="9">
        <v>153.961</v>
      </c>
      <c r="C60" s="9">
        <v>149.311</v>
      </c>
      <c r="D60" s="9">
        <v>122.272</v>
      </c>
      <c r="E60" s="18">
        <f t="shared" si="0"/>
        <v>79.417514825183</v>
      </c>
      <c r="F60" s="18">
        <f t="shared" si="1"/>
        <v>81.89081849294426</v>
      </c>
      <c r="G60" s="64"/>
      <c r="H60" s="64"/>
      <c r="I60" s="64"/>
      <c r="J60" s="64"/>
    </row>
    <row r="61" spans="1:10" s="3" customFormat="1" ht="15">
      <c r="A61" s="10" t="s">
        <v>31</v>
      </c>
      <c r="B61" s="9">
        <v>15891.008</v>
      </c>
      <c r="C61" s="9">
        <v>14115.278</v>
      </c>
      <c r="D61" s="9">
        <v>12296.535</v>
      </c>
      <c r="E61" s="18">
        <f t="shared" si="0"/>
        <v>77.38045943970326</v>
      </c>
      <c r="F61" s="18">
        <f t="shared" si="1"/>
        <v>87.11507488552475</v>
      </c>
      <c r="G61" s="64"/>
      <c r="H61" s="64"/>
      <c r="I61" s="64"/>
      <c r="J61" s="64"/>
    </row>
    <row r="62" spans="1:10" s="3" customFormat="1" ht="15">
      <c r="A62" s="10" t="s">
        <v>13</v>
      </c>
      <c r="B62" s="9">
        <f>SUM(B58)-B59-B60-B61</f>
        <v>177536.82200000001</v>
      </c>
      <c r="C62" s="9">
        <f>SUM(C58)-C59-C60-C61</f>
        <v>166299.013</v>
      </c>
      <c r="D62" s="9">
        <f>SUM(D58)-D59-D60-D61</f>
        <v>126671.4859</v>
      </c>
      <c r="E62" s="18">
        <f t="shared" si="0"/>
        <v>71.34941612281422</v>
      </c>
      <c r="F62" s="18">
        <f t="shared" si="1"/>
        <v>76.17091864519965</v>
      </c>
      <c r="G62" s="64"/>
      <c r="H62" s="64"/>
      <c r="I62" s="64"/>
      <c r="J62" s="64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f>75790.394+1323.665</f>
        <v>77114.059</v>
      </c>
      <c r="E63" s="18">
        <f t="shared" si="0"/>
        <v>77.11390014536569</v>
      </c>
      <c r="F63" s="18">
        <f t="shared" si="1"/>
        <v>77.11390014536569</v>
      </c>
      <c r="G63" s="64"/>
      <c r="H63" s="64"/>
      <c r="I63" s="64"/>
      <c r="J63" s="64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72801.421</v>
      </c>
      <c r="D64" s="20">
        <f>SUM(D65)</f>
        <v>36199.99</v>
      </c>
      <c r="E64" s="17">
        <f t="shared" si="0"/>
        <v>47.5916414119755</v>
      </c>
      <c r="F64" s="17">
        <f t="shared" si="1"/>
        <v>49.72429040911165</v>
      </c>
      <c r="G64" s="64"/>
      <c r="H64" s="64"/>
      <c r="I64" s="64"/>
      <c r="J64" s="64"/>
    </row>
    <row r="65" spans="1:10" s="3" customFormat="1" ht="15">
      <c r="A65" s="28" t="s">
        <v>14</v>
      </c>
      <c r="B65" s="23">
        <f>19538.959+63761.797-7237</f>
        <v>76063.756</v>
      </c>
      <c r="C65" s="23">
        <v>72801.421</v>
      </c>
      <c r="D65" s="23">
        <f>32829.729+3370.261</f>
        <v>36199.99</v>
      </c>
      <c r="E65" s="18">
        <f t="shared" si="0"/>
        <v>47.5916414119755</v>
      </c>
      <c r="F65" s="18">
        <f t="shared" si="1"/>
        <v>49.72429040911165</v>
      </c>
      <c r="G65" s="64"/>
      <c r="H65" s="64"/>
      <c r="I65" s="64"/>
      <c r="J65" s="64"/>
    </row>
    <row r="66" spans="1:10" s="3" customFormat="1" ht="15" customHeight="1">
      <c r="A66" s="21" t="s">
        <v>18</v>
      </c>
      <c r="B66" s="20">
        <f>SUM(B67:B68)</f>
        <v>158783.844</v>
      </c>
      <c r="C66" s="20">
        <f>SUM(C67:C68)</f>
        <v>154732.573</v>
      </c>
      <c r="D66" s="20">
        <f>SUM(D67:D68)</f>
        <v>136615.532</v>
      </c>
      <c r="E66" s="17">
        <f t="shared" si="0"/>
        <v>86.03868539673344</v>
      </c>
      <c r="F66" s="17">
        <f t="shared" si="1"/>
        <v>88.2913851629676</v>
      </c>
      <c r="G66" s="64"/>
      <c r="H66" s="64"/>
      <c r="I66" s="64"/>
      <c r="J66" s="64"/>
    </row>
    <row r="67" spans="1:10" s="3" customFormat="1" ht="15">
      <c r="A67" s="28" t="s">
        <v>13</v>
      </c>
      <c r="B67" s="23">
        <v>60120.369</v>
      </c>
      <c r="C67" s="23">
        <v>57775.098</v>
      </c>
      <c r="D67" s="23">
        <v>52465.151</v>
      </c>
      <c r="E67" s="18">
        <f t="shared" si="0"/>
        <v>87.26684794632581</v>
      </c>
      <c r="F67" s="18">
        <f t="shared" si="1"/>
        <v>90.80928084276032</v>
      </c>
      <c r="G67" s="64"/>
      <c r="H67" s="64"/>
      <c r="I67" s="64"/>
      <c r="J67" s="64"/>
    </row>
    <row r="68" spans="1:10" s="3" customFormat="1" ht="15">
      <c r="A68" s="28" t="s">
        <v>14</v>
      </c>
      <c r="B68" s="23">
        <f>40309.086+52354.389+6000</f>
        <v>98663.475</v>
      </c>
      <c r="C68" s="23">
        <v>96957.475</v>
      </c>
      <c r="D68" s="23">
        <v>84150.381</v>
      </c>
      <c r="E68" s="18">
        <f t="shared" si="0"/>
        <v>85.29030727936554</v>
      </c>
      <c r="F68" s="18">
        <f t="shared" si="1"/>
        <v>86.79101946497677</v>
      </c>
      <c r="G68" s="64"/>
      <c r="H68" s="64"/>
      <c r="I68" s="64"/>
      <c r="J68" s="64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33049.95</v>
      </c>
      <c r="E69" s="17">
        <f t="shared" si="0"/>
        <v>71.52739903908582</v>
      </c>
      <c r="F69" s="17">
        <f t="shared" si="1"/>
        <v>71.52739903908582</v>
      </c>
      <c r="G69" s="64"/>
      <c r="H69" s="64"/>
      <c r="I69" s="64"/>
      <c r="J69" s="64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33049.95</v>
      </c>
      <c r="E70" s="18">
        <f t="shared" si="0"/>
        <v>71.52739903908582</v>
      </c>
      <c r="F70" s="18">
        <f t="shared" si="1"/>
        <v>71.52739903908582</v>
      </c>
      <c r="G70" s="64"/>
      <c r="H70" s="64"/>
      <c r="I70" s="64"/>
      <c r="J70" s="64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6493.688</v>
      </c>
      <c r="D71" s="16">
        <f>SUM(D72)+D75</f>
        <v>4643.015</v>
      </c>
      <c r="E71" s="17">
        <f t="shared" si="0"/>
        <v>68.19238621175849</v>
      </c>
      <c r="F71" s="17">
        <f t="shared" si="1"/>
        <v>71.50043241991301</v>
      </c>
      <c r="G71" s="64"/>
      <c r="H71" s="64"/>
      <c r="I71" s="64"/>
      <c r="J71" s="64"/>
    </row>
    <row r="72" spans="1:10" s="3" customFormat="1" ht="15">
      <c r="A72" s="28" t="s">
        <v>33</v>
      </c>
      <c r="B72" s="23">
        <v>5036.657</v>
      </c>
      <c r="C72" s="23">
        <v>4721.645</v>
      </c>
      <c r="D72" s="23">
        <v>4322.015</v>
      </c>
      <c r="E72" s="18">
        <f>SUM(D72)/B72*100</f>
        <v>85.81118388645484</v>
      </c>
      <c r="F72" s="18">
        <f>SUM(D72)/C72*100</f>
        <v>91.53621248526731</v>
      </c>
      <c r="G72" s="64"/>
      <c r="H72" s="64"/>
      <c r="I72" s="64"/>
      <c r="J72" s="64"/>
    </row>
    <row r="73" spans="1:10" s="3" customFormat="1" ht="15">
      <c r="A73" s="10" t="s">
        <v>31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  <c r="G73" s="64"/>
      <c r="H73" s="64"/>
      <c r="I73" s="64"/>
      <c r="J73" s="64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4716.273</v>
      </c>
      <c r="D74" s="9">
        <f>SUM(D72)-D73</f>
        <v>4320.525000000001</v>
      </c>
      <c r="E74" s="18">
        <f aca="true" t="shared" si="2" ref="E74:E92">SUM(D74)/B74*100</f>
        <v>85.88514059498051</v>
      </c>
      <c r="F74" s="18">
        <f aca="true" t="shared" si="3" ref="F74:F92">SUM(D74)/C74*100</f>
        <v>91.60888269190525</v>
      </c>
      <c r="G74" s="64"/>
      <c r="H74" s="64"/>
      <c r="I74" s="64"/>
      <c r="J74" s="64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321</v>
      </c>
      <c r="E75" s="18">
        <f t="shared" si="2"/>
        <v>18.114684575938618</v>
      </c>
      <c r="F75" s="18">
        <f t="shared" si="3"/>
        <v>18.114684575938618</v>
      </c>
      <c r="G75" s="64"/>
      <c r="H75" s="64"/>
      <c r="I75" s="64"/>
      <c r="J75" s="64"/>
    </row>
    <row r="76" spans="1:10" s="2" customFormat="1" ht="14.25">
      <c r="A76" s="21" t="s">
        <v>11</v>
      </c>
      <c r="B76" s="16">
        <v>2500</v>
      </c>
      <c r="C76" s="16">
        <v>1700</v>
      </c>
      <c r="D76" s="16"/>
      <c r="E76" s="17">
        <f t="shared" si="2"/>
        <v>0</v>
      </c>
      <c r="F76" s="17"/>
      <c r="G76" s="65"/>
      <c r="H76" s="65"/>
      <c r="I76" s="65"/>
      <c r="J76" s="65"/>
    </row>
    <row r="77" spans="1:10" s="2" customFormat="1" ht="14.25">
      <c r="A77" s="21" t="s">
        <v>12</v>
      </c>
      <c r="B77" s="16">
        <v>18418.4</v>
      </c>
      <c r="C77" s="16">
        <v>16883.6</v>
      </c>
      <c r="D77" s="16">
        <v>16372</v>
      </c>
      <c r="E77" s="17">
        <f t="shared" si="2"/>
        <v>88.88937149806713</v>
      </c>
      <c r="F77" s="17">
        <f t="shared" si="3"/>
        <v>96.96984055533181</v>
      </c>
      <c r="G77" s="65"/>
      <c r="H77" s="65"/>
      <c r="I77" s="65"/>
      <c r="J77" s="65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14153.777</v>
      </c>
      <c r="D78" s="16">
        <f>SUM(D79)+D83</f>
        <v>12339.166799999999</v>
      </c>
      <c r="E78" s="17">
        <f t="shared" si="2"/>
        <v>86.15234340771724</v>
      </c>
      <c r="F78" s="17">
        <f t="shared" si="3"/>
        <v>87.17932181636039</v>
      </c>
      <c r="G78" s="65"/>
      <c r="H78" s="65"/>
      <c r="I78" s="65"/>
      <c r="J78" s="65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f>8724.783+2098.6</f>
        <v>10823.383</v>
      </c>
      <c r="D79" s="23">
        <f>6661.9743+907.331+195.308+181.219</f>
        <v>7945.8323</v>
      </c>
      <c r="E79" s="18">
        <f>SUM(D79)/B79*100</f>
        <v>72.28673439468317</v>
      </c>
      <c r="F79" s="18">
        <f>SUM(D79)/C79*100</f>
        <v>73.41357411079326</v>
      </c>
      <c r="G79" s="65"/>
      <c r="H79" s="65"/>
      <c r="I79" s="65"/>
      <c r="J79" s="65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v>2315.078</v>
      </c>
      <c r="E80" s="18">
        <f t="shared" si="2"/>
        <v>68.87286438095794</v>
      </c>
      <c r="F80" s="18">
        <f t="shared" si="3"/>
        <v>68.87286438095794</v>
      </c>
      <c r="G80" s="64"/>
      <c r="H80" s="64"/>
      <c r="I80" s="64"/>
      <c r="J80" s="64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v>803.333</v>
      </c>
      <c r="E81" s="18">
        <f t="shared" si="2"/>
        <v>66.93883843013082</v>
      </c>
      <c r="F81" s="18">
        <f t="shared" si="3"/>
        <v>66.93883843013082</v>
      </c>
      <c r="G81" s="64"/>
      <c r="H81" s="64"/>
      <c r="I81" s="64"/>
      <c r="J81" s="64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6261.9039999999995</v>
      </c>
      <c r="D82" s="9">
        <f>SUM(D79)-D80-D81</f>
        <v>4827.421300000001</v>
      </c>
      <c r="E82" s="18">
        <f t="shared" si="2"/>
        <v>75.06925144433886</v>
      </c>
      <c r="F82" s="18">
        <f t="shared" si="3"/>
        <v>77.09190846745656</v>
      </c>
      <c r="G82" s="64"/>
      <c r="H82" s="64"/>
      <c r="I82" s="64"/>
      <c r="J82" s="64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f>2888.4425+125.893+1378.999</f>
        <v>4393.3345</v>
      </c>
      <c r="E83" s="18">
        <f t="shared" si="2"/>
        <v>131.91635884522972</v>
      </c>
      <c r="F83" s="18">
        <f t="shared" si="3"/>
        <v>131.91635884522972</v>
      </c>
      <c r="G83" s="64"/>
      <c r="H83" s="64"/>
      <c r="I83" s="64"/>
      <c r="J83" s="64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  <c r="G84" s="64"/>
      <c r="H84" s="64"/>
      <c r="I84" s="64"/>
      <c r="J84" s="64"/>
    </row>
    <row r="85" spans="1:13" s="7" customFormat="1" ht="15.75">
      <c r="A85" s="25" t="s">
        <v>27</v>
      </c>
      <c r="B85" s="26">
        <f>B5+B14+B23+B36+B43+B50+B57+B64+B66+B69+B71+B76+B77+B78+B84</f>
        <v>2528509.3449999997</v>
      </c>
      <c r="C85" s="26">
        <f>C5+C14+C23+C36+C43+C50+C57+C64+C66+C69+C71+C76+C77+C78+C84</f>
        <v>2240661.8943399996</v>
      </c>
      <c r="D85" s="26">
        <f>D5+D14+D23+D36+D43+D50+D57+D64+D66+D69+D71+D76+D77+D78+D84</f>
        <v>1926367.5756999997</v>
      </c>
      <c r="E85" s="17">
        <f t="shared" si="2"/>
        <v>76.18589899654889</v>
      </c>
      <c r="F85" s="17">
        <f t="shared" si="3"/>
        <v>85.97314840610626</v>
      </c>
      <c r="G85" s="67"/>
      <c r="H85" s="73"/>
      <c r="I85" s="67"/>
      <c r="J85" s="73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2093807.9139999999</v>
      </c>
      <c r="C86" s="26">
        <f>C6+C15+C24+C37+C44+C51+C58+C67+C72+C79+C77</f>
        <v>1812441.0333399996</v>
      </c>
      <c r="D86" s="26">
        <f>D6+D15+D24+D37+D44+D51+D58+D67+D72+D79+D77</f>
        <v>1610292.1712</v>
      </c>
      <c r="E86" s="17">
        <f>SUM(D86)/B86*100</f>
        <v>76.90734954400406</v>
      </c>
      <c r="F86" s="17">
        <f>SUM(D86)/C86*100</f>
        <v>88.8465964728532</v>
      </c>
      <c r="G86" s="67"/>
      <c r="H86" s="73"/>
      <c r="I86" s="67"/>
      <c r="J86" s="73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561291.701</v>
      </c>
      <c r="C87" s="20">
        <f t="shared" si="4"/>
        <v>513081.611</v>
      </c>
      <c r="D87" s="20">
        <f t="shared" si="4"/>
        <v>472254.47</v>
      </c>
      <c r="E87" s="17">
        <f t="shared" si="2"/>
        <v>84.13708400794616</v>
      </c>
      <c r="F87" s="17">
        <f t="shared" si="3"/>
        <v>92.04275886628882</v>
      </c>
      <c r="G87" s="68"/>
      <c r="H87" s="68"/>
      <c r="I87" s="68"/>
      <c r="J87" s="68"/>
    </row>
    <row r="88" spans="1:6" ht="15">
      <c r="A88" s="27" t="s">
        <v>30</v>
      </c>
      <c r="B88" s="20">
        <f t="shared" si="4"/>
        <v>203230.36700000003</v>
      </c>
      <c r="C88" s="20">
        <f t="shared" si="4"/>
        <v>186155.10799999998</v>
      </c>
      <c r="D88" s="20">
        <f t="shared" si="4"/>
        <v>170972.09300000002</v>
      </c>
      <c r="E88" s="17">
        <f t="shared" si="2"/>
        <v>84.1272372450127</v>
      </c>
      <c r="F88" s="17">
        <f t="shared" si="3"/>
        <v>91.84389020364677</v>
      </c>
    </row>
    <row r="89" spans="1:6" ht="15">
      <c r="A89" s="27" t="s">
        <v>2</v>
      </c>
      <c r="B89" s="20">
        <f>B73+B11+B20+B29+B40+B47+B54+B61+60</f>
        <v>139004.103</v>
      </c>
      <c r="C89" s="20">
        <f>C73+C11+C20+C29+C40+C47+C54+C61+34.5</f>
        <v>117417.036</v>
      </c>
      <c r="D89" s="20">
        <f>D73+D11+D20+D29+D40+D47+D54+D61</f>
        <v>93454.902</v>
      </c>
      <c r="E89" s="17">
        <f t="shared" si="2"/>
        <v>67.23175789998083</v>
      </c>
      <c r="F89" s="17">
        <f t="shared" si="3"/>
        <v>79.59228505819208</v>
      </c>
    </row>
    <row r="90" spans="1:6" ht="15">
      <c r="A90" s="27" t="s">
        <v>13</v>
      </c>
      <c r="B90" s="20">
        <f>B86-B87-B88-B89</f>
        <v>1190281.7429999998</v>
      </c>
      <c r="C90" s="20">
        <f>C86-C87-C88-C89</f>
        <v>995787.2783399996</v>
      </c>
      <c r="D90" s="20">
        <f>D86-D87-D88-D89</f>
        <v>873610.7062</v>
      </c>
      <c r="E90" s="17">
        <f t="shared" si="2"/>
        <v>73.3952874046561</v>
      </c>
      <c r="F90" s="17">
        <f t="shared" si="3"/>
        <v>87.73065545247066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408175.63200000004</v>
      </c>
      <c r="D91" s="16">
        <f>D13+D22+D42+D34+D56+D63+D65+D68+D70+D75+D83+D49</f>
        <v>297777.8735</v>
      </c>
      <c r="E91" s="17">
        <f t="shared" si="2"/>
        <v>71.95201426509007</v>
      </c>
      <c r="F91" s="17">
        <f t="shared" si="3"/>
        <v>72.95336863715566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15">
      <c r="A93" s="15" t="s">
        <v>32</v>
      </c>
      <c r="B93" s="16">
        <f>SUM(B76)</f>
        <v>2500</v>
      </c>
      <c r="C93" s="16">
        <f>SUM(C76)</f>
        <v>1700</v>
      </c>
      <c r="D93" s="16"/>
      <c r="E93" s="17"/>
      <c r="F93" s="17"/>
    </row>
    <row r="95" spans="2:4" ht="15">
      <c r="B95" s="58"/>
      <c r="C95" s="58"/>
      <c r="D95" s="69"/>
    </row>
    <row r="96" spans="2:6" ht="15">
      <c r="B96" s="59"/>
      <c r="C96" s="59"/>
      <c r="D96" s="61"/>
      <c r="E96" s="59"/>
      <c r="F96" s="59"/>
    </row>
    <row r="97" spans="2:6" ht="15">
      <c r="B97" s="70"/>
      <c r="C97" s="70"/>
      <c r="D97" s="71"/>
      <c r="E97" s="59"/>
      <c r="F97" s="59"/>
    </row>
    <row r="98" spans="2:6" ht="15">
      <c r="B98" s="72"/>
      <c r="C98" s="72"/>
      <c r="D98" s="72"/>
      <c r="E98" s="59"/>
      <c r="F98" s="59"/>
    </row>
    <row r="99" spans="2:4" ht="15">
      <c r="B99" s="58"/>
      <c r="C99" s="58"/>
      <c r="D99" s="61"/>
    </row>
    <row r="100" spans="2:4" ht="15">
      <c r="B100" s="59"/>
      <c r="C100" s="59"/>
      <c r="D100" s="60"/>
    </row>
    <row r="101" ht="15">
      <c r="D101" s="58"/>
    </row>
    <row r="102" ht="15">
      <c r="B102" s="59"/>
    </row>
    <row r="103" ht="15">
      <c r="D103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7" t="s">
        <v>71</v>
      </c>
      <c r="B1" s="77"/>
      <c r="C1" s="77"/>
      <c r="D1" s="77"/>
      <c r="E1" s="77"/>
      <c r="F1" s="77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76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597838.184</v>
      </c>
      <c r="C5" s="16">
        <f>C6+C13</f>
        <v>541415.11878</v>
      </c>
      <c r="D5" s="16">
        <f>D6+D13</f>
        <v>481147.076</v>
      </c>
      <c r="E5" s="17">
        <f>SUM(D5)/B5*100</f>
        <v>80.48115508125522</v>
      </c>
      <c r="F5" s="17">
        <f>SUM(D5)/C5*100</f>
        <v>88.86842264105863</v>
      </c>
      <c r="G5" s="36"/>
    </row>
    <row r="6" spans="1:6" s="39" customFormat="1" ht="15">
      <c r="A6" s="38" t="s">
        <v>39</v>
      </c>
      <c r="B6" s="53">
        <f>562310.395+15</f>
        <v>562325.395</v>
      </c>
      <c r="C6" s="23">
        <v>506364.32978</v>
      </c>
      <c r="D6" s="23">
        <f>455053.325+24.62</f>
        <v>455077.945</v>
      </c>
      <c r="E6" s="18">
        <f>SUM(D6)/B6*100</f>
        <v>80.92786650690033</v>
      </c>
      <c r="F6" s="18">
        <f>SUM(D6)/C6*100</f>
        <v>89.87164344647216</v>
      </c>
    </row>
    <row r="7" spans="1:6" s="39" customFormat="1" ht="15">
      <c r="A7" s="40" t="s">
        <v>40</v>
      </c>
      <c r="B7" s="9">
        <f>312527.163</f>
        <v>312527.163</v>
      </c>
      <c r="C7" s="9">
        <v>285779.276</v>
      </c>
      <c r="D7" s="9">
        <v>263212.598</v>
      </c>
      <c r="E7" s="18">
        <f aca="true" t="shared" si="0" ref="E7:E73">SUM(D7)/B7*100</f>
        <v>84.22071076106751</v>
      </c>
      <c r="F7" s="18">
        <f aca="true" t="shared" si="1" ref="F7:F73">SUM(D7)/C7*100</f>
        <v>92.10345889461907</v>
      </c>
    </row>
    <row r="8" spans="1:6" s="39" customFormat="1" ht="15">
      <c r="A8" s="40" t="s">
        <v>41</v>
      </c>
      <c r="B8" s="9">
        <v>113569.19</v>
      </c>
      <c r="C8" s="9">
        <v>103994.549</v>
      </c>
      <c r="D8" s="9">
        <v>96183.53</v>
      </c>
      <c r="E8" s="18">
        <f t="shared" si="0"/>
        <v>84.69156995836634</v>
      </c>
      <c r="F8" s="18">
        <f t="shared" si="1"/>
        <v>92.4890111307661</v>
      </c>
    </row>
    <row r="9" spans="1:6" s="39" customFormat="1" ht="15">
      <c r="A9" s="40" t="s">
        <v>42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</row>
    <row r="10" spans="1:6" s="39" customFormat="1" ht="15">
      <c r="A10" s="40" t="s">
        <v>43</v>
      </c>
      <c r="B10" s="9">
        <v>33349.211</v>
      </c>
      <c r="C10" s="9">
        <v>28481.877</v>
      </c>
      <c r="D10" s="9">
        <v>24756.108</v>
      </c>
      <c r="E10" s="18">
        <f t="shared" si="0"/>
        <v>74.23296461196638</v>
      </c>
      <c r="F10" s="18">
        <f t="shared" si="1"/>
        <v>86.91880805467981</v>
      </c>
    </row>
    <row r="11" spans="1:6" s="39" customFormat="1" ht="30">
      <c r="A11" s="40" t="s">
        <v>44</v>
      </c>
      <c r="B11" s="9">
        <v>78527.174</v>
      </c>
      <c r="C11" s="9">
        <v>64475.829</v>
      </c>
      <c r="D11" s="9">
        <f>51722.967+21.103</f>
        <v>51744.07</v>
      </c>
      <c r="E11" s="18">
        <f t="shared" si="0"/>
        <v>65.89320277844202</v>
      </c>
      <c r="F11" s="18">
        <f t="shared" si="1"/>
        <v>80.25343885070481</v>
      </c>
    </row>
    <row r="12" spans="1:6" s="39" customFormat="1" ht="15">
      <c r="A12" s="40" t="s">
        <v>45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19109.184340000014</v>
      </c>
      <c r="E12" s="18">
        <f t="shared" si="0"/>
        <v>78.70478900573613</v>
      </c>
      <c r="F12" s="18">
        <f t="shared" si="1"/>
        <v>81.10958452480716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23">
        <v>35050.789</v>
      </c>
      <c r="D13" s="23">
        <v>26069.131</v>
      </c>
      <c r="E13" s="18">
        <f t="shared" si="0"/>
        <v>73.40772643905834</v>
      </c>
      <c r="F13" s="18">
        <f t="shared" si="1"/>
        <v>74.37530436190752</v>
      </c>
    </row>
    <row r="14" spans="1:6" s="37" customFormat="1" ht="14.25">
      <c r="A14" s="35" t="s">
        <v>47</v>
      </c>
      <c r="B14" s="16">
        <f>B15+B22</f>
        <v>373273.95</v>
      </c>
      <c r="C14" s="16">
        <f>C15+C22</f>
        <v>344544.11655999994</v>
      </c>
      <c r="D14" s="16">
        <f>D15+D22</f>
        <v>308471.572</v>
      </c>
      <c r="E14" s="17">
        <f t="shared" si="0"/>
        <v>82.63945876748163</v>
      </c>
      <c r="F14" s="17">
        <f t="shared" si="1"/>
        <v>89.53035538085639</v>
      </c>
    </row>
    <row r="15" spans="1:6" s="39" customFormat="1" ht="15">
      <c r="A15" s="38" t="s">
        <v>48</v>
      </c>
      <c r="B15" s="23">
        <f>327920.177+25068</f>
        <v>352988.177</v>
      </c>
      <c r="C15" s="23">
        <f>301269.02056+22989.323</f>
        <v>324258.34355999995</v>
      </c>
      <c r="D15" s="23">
        <f>268455.039+1071.824+21949.984</f>
        <v>291476.847</v>
      </c>
      <c r="E15" s="18">
        <f>SUM(D15)/B15*100</f>
        <v>82.57411040710295</v>
      </c>
      <c r="F15" s="18">
        <f>SUM(D15)/C15*100</f>
        <v>89.89031517274307</v>
      </c>
    </row>
    <row r="16" spans="1:6" s="39" customFormat="1" ht="15">
      <c r="A16" s="40" t="s">
        <v>40</v>
      </c>
      <c r="B16" s="9">
        <v>138388.382</v>
      </c>
      <c r="C16" s="9">
        <v>127052.352</v>
      </c>
      <c r="D16" s="9">
        <v>117382.881</v>
      </c>
      <c r="E16" s="18">
        <f t="shared" si="0"/>
        <v>84.82134071052293</v>
      </c>
      <c r="F16" s="18">
        <f t="shared" si="1"/>
        <v>92.38938056022764</v>
      </c>
    </row>
    <row r="17" spans="1:6" s="39" customFormat="1" ht="15">
      <c r="A17" s="40" t="s">
        <v>41</v>
      </c>
      <c r="B17" s="9">
        <v>49725.957</v>
      </c>
      <c r="C17" s="9">
        <v>45759.225</v>
      </c>
      <c r="D17" s="9">
        <v>41701.739</v>
      </c>
      <c r="E17" s="18">
        <f t="shared" si="0"/>
        <v>83.86312001999278</v>
      </c>
      <c r="F17" s="18">
        <f t="shared" si="1"/>
        <v>91.13296608498068</v>
      </c>
    </row>
    <row r="18" spans="1:6" s="39" customFormat="1" ht="15">
      <c r="A18" s="40" t="s">
        <v>42</v>
      </c>
      <c r="B18" s="56">
        <v>11594.27</v>
      </c>
      <c r="C18" s="9">
        <v>10820.22</v>
      </c>
      <c r="D18" s="9">
        <f>10393.65+24.68</f>
        <v>10418.33</v>
      </c>
      <c r="E18" s="18">
        <f t="shared" si="0"/>
        <v>89.85757619927774</v>
      </c>
      <c r="F18" s="18">
        <f t="shared" si="1"/>
        <v>96.28575019731576</v>
      </c>
    </row>
    <row r="19" spans="1:6" s="39" customFormat="1" ht="15">
      <c r="A19" s="40" t="s">
        <v>43</v>
      </c>
      <c r="B19" s="9">
        <v>4056.884</v>
      </c>
      <c r="C19" s="9">
        <v>3736</v>
      </c>
      <c r="D19" s="9">
        <f>3570.877+51.143</f>
        <v>3622.02</v>
      </c>
      <c r="E19" s="18">
        <f t="shared" si="0"/>
        <v>89.28083721397999</v>
      </c>
      <c r="F19" s="18">
        <f t="shared" si="1"/>
        <v>96.94914346895075</v>
      </c>
    </row>
    <row r="20" spans="1:6" s="39" customFormat="1" ht="30">
      <c r="A20" s="40" t="s">
        <v>44</v>
      </c>
      <c r="B20" s="9">
        <v>30224.41</v>
      </c>
      <c r="C20" s="9">
        <v>27198.729</v>
      </c>
      <c r="D20" s="9">
        <f>20100.221+341.901</f>
        <v>20442.122000000003</v>
      </c>
      <c r="E20" s="18">
        <f t="shared" si="0"/>
        <v>67.6344782247197</v>
      </c>
      <c r="F20" s="18">
        <f t="shared" si="1"/>
        <v>75.15837229011694</v>
      </c>
    </row>
    <row r="21" spans="1:6" s="39" customFormat="1" ht="15">
      <c r="A21" s="40" t="s">
        <v>45</v>
      </c>
      <c r="B21" s="9">
        <f>SUM(B15)-B16-B17-B18-B19-B20</f>
        <v>118998.27400000003</v>
      </c>
      <c r="C21" s="9">
        <f>SUM(C15)-C16-C17-C18-C19-C20</f>
        <v>109691.81755999994</v>
      </c>
      <c r="D21" s="9">
        <f>SUM(D15)-D16-D17-D18-D19-D20</f>
        <v>97909.755</v>
      </c>
      <c r="E21" s="18">
        <f t="shared" si="0"/>
        <v>82.27829842305106</v>
      </c>
      <c r="F21" s="18">
        <f t="shared" si="1"/>
        <v>89.25894125735012</v>
      </c>
    </row>
    <row r="22" spans="1:6" s="39" customFormat="1" ht="15">
      <c r="A22" s="38" t="s">
        <v>46</v>
      </c>
      <c r="B22" s="23">
        <f>11416.945+8868.828</f>
        <v>20285.773</v>
      </c>
      <c r="C22" s="23">
        <f>8868.828+11416.945</f>
        <v>20285.773</v>
      </c>
      <c r="D22" s="23">
        <f>16994.37+0.355</f>
        <v>16994.725</v>
      </c>
      <c r="E22" s="18">
        <f t="shared" si="0"/>
        <v>83.77657090020675</v>
      </c>
      <c r="F22" s="18">
        <f t="shared" si="1"/>
        <v>83.77657090020675</v>
      </c>
    </row>
    <row r="23" spans="1:6" s="37" customFormat="1" ht="28.5">
      <c r="A23" s="35" t="s">
        <v>64</v>
      </c>
      <c r="B23" s="16">
        <f>B24+B34</f>
        <v>700089.562</v>
      </c>
      <c r="C23" s="16">
        <f>C24+C34</f>
        <v>539803.298</v>
      </c>
      <c r="D23" s="16">
        <f>D24+D34</f>
        <v>487772.38</v>
      </c>
      <c r="E23" s="17">
        <f t="shared" si="0"/>
        <v>69.67285422832799</v>
      </c>
      <c r="F23" s="17">
        <f t="shared" si="1"/>
        <v>90.36113373282873</v>
      </c>
    </row>
    <row r="24" spans="1:6" s="39" customFormat="1" ht="15">
      <c r="A24" s="38" t="s">
        <v>48</v>
      </c>
      <c r="B24" s="23">
        <v>696905.234</v>
      </c>
      <c r="C24" s="23">
        <v>536669.205</v>
      </c>
      <c r="D24" s="23">
        <v>486640.081</v>
      </c>
      <c r="E24" s="18">
        <f>SUM(D24)/B24*100</f>
        <v>69.82873097492048</v>
      </c>
      <c r="F24" s="18">
        <f>SUM(D24)/C24*100</f>
        <v>90.67784707341276</v>
      </c>
    </row>
    <row r="25" spans="1:6" s="39" customFormat="1" ht="15">
      <c r="A25" s="40" t="s">
        <v>40</v>
      </c>
      <c r="B25" s="9">
        <v>11580.045</v>
      </c>
      <c r="C25" s="9">
        <v>10335.523</v>
      </c>
      <c r="D25" s="9">
        <v>9607.796</v>
      </c>
      <c r="E25" s="18">
        <f t="shared" si="0"/>
        <v>82.96855495811977</v>
      </c>
      <c r="F25" s="18">
        <f t="shared" si="1"/>
        <v>92.9589726615673</v>
      </c>
    </row>
    <row r="26" spans="1:6" s="39" customFormat="1" ht="15">
      <c r="A26" s="40" t="s">
        <v>41</v>
      </c>
      <c r="B26" s="9">
        <v>4160.428</v>
      </c>
      <c r="C26" s="9">
        <v>3726.599</v>
      </c>
      <c r="D26" s="9">
        <v>3457.893</v>
      </c>
      <c r="E26" s="18">
        <f t="shared" si="0"/>
        <v>83.11387674537332</v>
      </c>
      <c r="F26" s="18">
        <f t="shared" si="1"/>
        <v>92.7895112943464</v>
      </c>
    </row>
    <row r="27" spans="1:6" s="39" customFormat="1" ht="15">
      <c r="A27" s="40" t="s">
        <v>42</v>
      </c>
      <c r="B27" s="9">
        <v>77.62</v>
      </c>
      <c r="C27" s="9">
        <v>76.38</v>
      </c>
      <c r="D27" s="9">
        <v>76.38</v>
      </c>
      <c r="E27" s="18">
        <f t="shared" si="0"/>
        <v>98.4024735892811</v>
      </c>
      <c r="F27" s="18">
        <f t="shared" si="1"/>
        <v>100</v>
      </c>
    </row>
    <row r="28" spans="1:6" s="39" customFormat="1" ht="15">
      <c r="A28" s="40" t="s">
        <v>43</v>
      </c>
      <c r="B28" s="9">
        <v>138.829</v>
      </c>
      <c r="C28" s="9">
        <v>132.1</v>
      </c>
      <c r="D28" s="9">
        <v>132.1</v>
      </c>
      <c r="E28" s="18">
        <f t="shared" si="0"/>
        <v>95.15302998653019</v>
      </c>
      <c r="F28" s="18">
        <f t="shared" si="1"/>
        <v>100</v>
      </c>
    </row>
    <row r="29" spans="1:6" s="39" customFormat="1" ht="30">
      <c r="A29" s="40" t="s">
        <v>44</v>
      </c>
      <c r="B29" s="9">
        <v>1150.295</v>
      </c>
      <c r="C29" s="9">
        <v>930.457</v>
      </c>
      <c r="D29" s="9">
        <v>721.141</v>
      </c>
      <c r="E29" s="18">
        <f t="shared" si="0"/>
        <v>62.69183122590292</v>
      </c>
      <c r="F29" s="18">
        <f t="shared" si="1"/>
        <v>77.50395773259807</v>
      </c>
    </row>
    <row r="30" spans="1:6" s="39" customFormat="1" ht="15">
      <c r="A30" s="40" t="s">
        <v>45</v>
      </c>
      <c r="B30" s="9">
        <f>SUM(B24)-B25-B26-B27-B28-B29</f>
        <v>679798.017</v>
      </c>
      <c r="C30" s="9">
        <f>SUM(C24)-C25-C26-C27-C28-C29</f>
        <v>521468.14599999995</v>
      </c>
      <c r="D30" s="9">
        <f>SUM(D24)-D25-D26-D27-D28-D29</f>
        <v>472644.77100000007</v>
      </c>
      <c r="E30" s="18">
        <f t="shared" si="0"/>
        <v>69.52723591131041</v>
      </c>
      <c r="F30" s="18">
        <f t="shared" si="1"/>
        <v>90.63732360749033</v>
      </c>
    </row>
    <row r="31" spans="1:6" s="39" customFormat="1" ht="15">
      <c r="A31" s="40" t="s">
        <v>49</v>
      </c>
      <c r="B31" s="9">
        <f>SUM(B32:B33)</f>
        <v>664987.23</v>
      </c>
      <c r="C31" s="9">
        <f>SUM(C32:C33)</f>
        <v>507453.459</v>
      </c>
      <c r="D31" s="9">
        <f>SUM(D32:D33)</f>
        <v>460141.67500000005</v>
      </c>
      <c r="E31" s="18">
        <f>SUM(D31)/B31*100</f>
        <v>69.19556560507185</v>
      </c>
      <c r="F31" s="18">
        <f>SUM(D31)/C31*100</f>
        <v>90.676625972117</v>
      </c>
    </row>
    <row r="32" spans="1:6" s="39" customFormat="1" ht="30">
      <c r="A32" s="41" t="s">
        <v>70</v>
      </c>
      <c r="B32" s="9">
        <v>431369.7</v>
      </c>
      <c r="C32" s="9">
        <v>390326.551</v>
      </c>
      <c r="D32" s="9">
        <v>375276.585</v>
      </c>
      <c r="E32" s="18">
        <f>SUM(D32)/B32*100</f>
        <v>86.99651018604227</v>
      </c>
      <c r="F32" s="18">
        <f>SUM(D32)/C32*100</f>
        <v>96.14426280727186</v>
      </c>
    </row>
    <row r="33" spans="1:6" s="39" customFormat="1" ht="15">
      <c r="A33" s="41" t="s">
        <v>65</v>
      </c>
      <c r="B33" s="9">
        <v>233617.53</v>
      </c>
      <c r="C33" s="9">
        <v>117126.908</v>
      </c>
      <c r="D33" s="9">
        <v>84865.09</v>
      </c>
      <c r="E33" s="18">
        <f>SUM(D33)/B33*100</f>
        <v>36.32650768972688</v>
      </c>
      <c r="F33" s="18">
        <f>SUM(D33)/C33*100</f>
        <v>72.45567346488819</v>
      </c>
    </row>
    <row r="34" spans="1:6" s="39" customFormat="1" ht="15">
      <c r="A34" s="38" t="s">
        <v>46</v>
      </c>
      <c r="B34" s="23">
        <v>3184.328</v>
      </c>
      <c r="C34" s="23">
        <v>3134.093</v>
      </c>
      <c r="D34" s="23">
        <v>1132.299</v>
      </c>
      <c r="E34" s="18">
        <f>SUM(D34)/B34*100</f>
        <v>35.55849146193483</v>
      </c>
      <c r="F34" s="18">
        <f>SUM(D34)/C34*100</f>
        <v>36.128442901981536</v>
      </c>
    </row>
    <row r="35" spans="1:6" s="39" customFormat="1" ht="15">
      <c r="A35" s="40" t="s">
        <v>69</v>
      </c>
      <c r="B35" s="9">
        <v>156.528</v>
      </c>
      <c r="C35" s="9">
        <v>106.293</v>
      </c>
      <c r="D35" s="9">
        <v>58.293</v>
      </c>
      <c r="E35" s="18">
        <f>SUM(D35)/B35*100</f>
        <v>37.24126034958602</v>
      </c>
      <c r="F35" s="18">
        <f>SUM(D35)/C35*100</f>
        <v>54.841805198837164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88493.135</v>
      </c>
      <c r="D36" s="16">
        <f>D37+D42</f>
        <v>73373.30799999999</v>
      </c>
      <c r="E36" s="17">
        <f t="shared" si="0"/>
        <v>75.7470321344541</v>
      </c>
      <c r="F36" s="17">
        <f t="shared" si="1"/>
        <v>82.91412435552203</v>
      </c>
    </row>
    <row r="37" spans="1:6" s="39" customFormat="1" ht="15">
      <c r="A37" s="38" t="s">
        <v>48</v>
      </c>
      <c r="B37" s="23">
        <v>77949.817</v>
      </c>
      <c r="C37" s="23">
        <v>69776.704</v>
      </c>
      <c r="D37" s="23">
        <f>62330.337+36.17</f>
        <v>62366.507</v>
      </c>
      <c r="E37" s="18">
        <f>SUM(D37)/B37*100</f>
        <v>80.00853549149448</v>
      </c>
      <c r="F37" s="18">
        <f>SUM(D37)/C37*100</f>
        <v>89.38012749928687</v>
      </c>
    </row>
    <row r="38" spans="1:6" s="39" customFormat="1" ht="15">
      <c r="A38" s="40" t="s">
        <v>40</v>
      </c>
      <c r="B38" s="9">
        <v>33097.391</v>
      </c>
      <c r="C38" s="9">
        <v>30186.763</v>
      </c>
      <c r="D38" s="9">
        <v>27829.38</v>
      </c>
      <c r="E38" s="18">
        <f t="shared" si="0"/>
        <v>84.08330433054375</v>
      </c>
      <c r="F38" s="18">
        <f t="shared" si="1"/>
        <v>92.19067311059487</v>
      </c>
    </row>
    <row r="39" spans="1:6" s="39" customFormat="1" ht="15">
      <c r="A39" s="40" t="s">
        <v>41</v>
      </c>
      <c r="B39" s="9">
        <v>12091.034</v>
      </c>
      <c r="C39" s="9">
        <v>11049.933</v>
      </c>
      <c r="D39" s="9">
        <v>10085.475</v>
      </c>
      <c r="E39" s="18">
        <f t="shared" si="0"/>
        <v>83.41284128388028</v>
      </c>
      <c r="F39" s="18">
        <f t="shared" si="1"/>
        <v>91.27182038117336</v>
      </c>
    </row>
    <row r="40" spans="1:6" s="39" customFormat="1" ht="30">
      <c r="A40" s="40" t="s">
        <v>44</v>
      </c>
      <c r="B40" s="9">
        <v>5631.026</v>
      </c>
      <c r="C40" s="9">
        <v>4417.978</v>
      </c>
      <c r="D40" s="9">
        <f>3521.728+14.424</f>
        <v>3536.152</v>
      </c>
      <c r="E40" s="18">
        <f t="shared" si="0"/>
        <v>62.79765001972998</v>
      </c>
      <c r="F40" s="18">
        <f t="shared" si="1"/>
        <v>80.04005452267982</v>
      </c>
    </row>
    <row r="41" spans="1:6" s="39" customFormat="1" ht="15">
      <c r="A41" s="40" t="s">
        <v>45</v>
      </c>
      <c r="B41" s="9">
        <f>SUM(B37)-B38-B39-B40</f>
        <v>27130.365999999995</v>
      </c>
      <c r="C41" s="9">
        <f>SUM(C37)-C38-C39-C40</f>
        <v>24122.03</v>
      </c>
      <c r="D41" s="9">
        <f>SUM(D37)-D38-D39-D40</f>
        <v>20915.499999999993</v>
      </c>
      <c r="E41" s="18">
        <f t="shared" si="0"/>
        <v>77.09258326997873</v>
      </c>
      <c r="F41" s="18">
        <f t="shared" si="1"/>
        <v>86.70704745827774</v>
      </c>
    </row>
    <row r="42" spans="1:6" s="39" customFormat="1" ht="15">
      <c r="A42" s="38" t="s">
        <v>46</v>
      </c>
      <c r="B42" s="23">
        <f>8951+9965.431</f>
        <v>18916.431</v>
      </c>
      <c r="C42" s="23">
        <v>18716.431</v>
      </c>
      <c r="D42" s="23">
        <v>11006.801</v>
      </c>
      <c r="E42" s="18">
        <f t="shared" si="0"/>
        <v>58.186457054187436</v>
      </c>
      <c r="F42" s="18">
        <f t="shared" si="1"/>
        <v>58.80822577766027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41854.769</v>
      </c>
      <c r="D43" s="16">
        <f>D44+D49</f>
        <v>36824.034</v>
      </c>
      <c r="E43" s="17">
        <f t="shared" si="0"/>
        <v>80.26855238009749</v>
      </c>
      <c r="F43" s="17">
        <f t="shared" si="1"/>
        <v>87.98049751510992</v>
      </c>
    </row>
    <row r="44" spans="1:6" s="39" customFormat="1" ht="15">
      <c r="A44" s="38" t="s">
        <v>48</v>
      </c>
      <c r="B44" s="23">
        <v>40360.364</v>
      </c>
      <c r="C44" s="23">
        <v>36339.092</v>
      </c>
      <c r="D44" s="23">
        <f>32874.65+3.397</f>
        <v>32878.047</v>
      </c>
      <c r="E44" s="18">
        <f>SUM(D44)/B44*100</f>
        <v>81.4612251762645</v>
      </c>
      <c r="F44" s="18">
        <f>SUM(D44)/C44*100</f>
        <v>90.47569763163042</v>
      </c>
    </row>
    <row r="45" spans="1:6" s="39" customFormat="1" ht="15">
      <c r="A45" s="40" t="s">
        <v>40</v>
      </c>
      <c r="B45" s="9">
        <v>20371.66</v>
      </c>
      <c r="C45" s="9">
        <v>18397.533</v>
      </c>
      <c r="D45" s="9">
        <v>16879.542</v>
      </c>
      <c r="E45" s="18">
        <f t="shared" si="0"/>
        <v>82.85796051966311</v>
      </c>
      <c r="F45" s="18">
        <f t="shared" si="1"/>
        <v>91.74894264355989</v>
      </c>
    </row>
    <row r="46" spans="1:6" s="39" customFormat="1" ht="15">
      <c r="A46" s="40" t="s">
        <v>41</v>
      </c>
      <c r="B46" s="9">
        <v>7320.765</v>
      </c>
      <c r="C46" s="9">
        <v>6613.967</v>
      </c>
      <c r="D46" s="9">
        <v>6069.847</v>
      </c>
      <c r="E46" s="18">
        <f t="shared" si="0"/>
        <v>82.91274204266902</v>
      </c>
      <c r="F46" s="18">
        <f t="shared" si="1"/>
        <v>91.77316729883896</v>
      </c>
    </row>
    <row r="47" spans="1:6" s="39" customFormat="1" ht="30">
      <c r="A47" s="40" t="s">
        <v>44</v>
      </c>
      <c r="B47" s="9">
        <v>3303.442</v>
      </c>
      <c r="C47" s="9">
        <v>2684.241</v>
      </c>
      <c r="D47" s="9">
        <f>2048.784+3.397</f>
        <v>2052.181</v>
      </c>
      <c r="E47" s="18">
        <f t="shared" si="0"/>
        <v>62.122507372613164</v>
      </c>
      <c r="F47" s="18">
        <f t="shared" si="1"/>
        <v>76.4529339951219</v>
      </c>
    </row>
    <row r="48" spans="1:6" s="39" customFormat="1" ht="15">
      <c r="A48" s="40" t="s">
        <v>45</v>
      </c>
      <c r="B48" s="9">
        <f>SUM(B44)-B45-B46-B47</f>
        <v>9364.497000000003</v>
      </c>
      <c r="C48" s="9">
        <f>SUM(C44)-C45-C46-C47</f>
        <v>8643.350999999997</v>
      </c>
      <c r="D48" s="9">
        <f>SUM(D44)-D45-D46-D47</f>
        <v>7876.476999999997</v>
      </c>
      <c r="E48" s="18">
        <f t="shared" si="0"/>
        <v>84.10998476479831</v>
      </c>
      <c r="F48" s="18">
        <f t="shared" si="1"/>
        <v>91.12758466016247</v>
      </c>
    </row>
    <row r="49" spans="1:6" s="39" customFormat="1" ht="15">
      <c r="A49" s="38" t="s">
        <v>46</v>
      </c>
      <c r="B49" s="23">
        <f>2828.9+2686.777</f>
        <v>5515.677</v>
      </c>
      <c r="C49" s="23">
        <v>5515.677</v>
      </c>
      <c r="D49" s="23">
        <v>3945.987</v>
      </c>
      <c r="E49" s="18">
        <f t="shared" si="0"/>
        <v>71.54129946332971</v>
      </c>
      <c r="F49" s="18">
        <f t="shared" si="1"/>
        <v>71.54129946332971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72260.516</v>
      </c>
      <c r="D50" s="16">
        <f>D51+D56</f>
        <v>64713.443</v>
      </c>
      <c r="E50" s="17">
        <f t="shared" si="0"/>
        <v>81.80050511115353</v>
      </c>
      <c r="F50" s="17">
        <f t="shared" si="1"/>
        <v>89.55574438466506</v>
      </c>
    </row>
    <row r="51" spans="1:6" s="39" customFormat="1" ht="15">
      <c r="A51" s="38" t="s">
        <v>48</v>
      </c>
      <c r="B51" s="23">
        <f>74795.85-89.88</f>
        <v>74705.97</v>
      </c>
      <c r="C51" s="23">
        <v>67855.186</v>
      </c>
      <c r="D51" s="23">
        <v>61313.227</v>
      </c>
      <c r="E51" s="18">
        <f>SUM(D51)/B51*100</f>
        <v>82.072727253257</v>
      </c>
      <c r="F51" s="18">
        <f>SUM(D51)/C51*100</f>
        <v>90.35894028792434</v>
      </c>
    </row>
    <row r="52" spans="1:6" s="39" customFormat="1" ht="15">
      <c r="A52" s="40" t="s">
        <v>40</v>
      </c>
      <c r="B52" s="9">
        <v>41542.044</v>
      </c>
      <c r="C52" s="9">
        <v>37557.94</v>
      </c>
      <c r="D52" s="9">
        <v>34682.969</v>
      </c>
      <c r="E52" s="18">
        <f t="shared" si="0"/>
        <v>83.48883603320047</v>
      </c>
      <c r="F52" s="18">
        <f t="shared" si="1"/>
        <v>92.34523778460691</v>
      </c>
    </row>
    <row r="53" spans="1:6" s="39" customFormat="1" ht="15">
      <c r="A53" s="40" t="s">
        <v>41</v>
      </c>
      <c r="B53" s="9">
        <v>15008.932</v>
      </c>
      <c r="C53" s="9">
        <v>13661.424</v>
      </c>
      <c r="D53" s="9">
        <v>12548.004</v>
      </c>
      <c r="E53" s="18">
        <f t="shared" si="0"/>
        <v>83.60357685676769</v>
      </c>
      <c r="F53" s="18">
        <f t="shared" si="1"/>
        <v>91.84989793157726</v>
      </c>
    </row>
    <row r="54" spans="1:6" s="39" customFormat="1" ht="30">
      <c r="A54" s="40" t="s">
        <v>44</v>
      </c>
      <c r="B54" s="9">
        <v>4210.676</v>
      </c>
      <c r="C54" s="9">
        <v>3554.652</v>
      </c>
      <c r="D54" s="9">
        <v>2661.211</v>
      </c>
      <c r="E54" s="18">
        <f t="shared" si="0"/>
        <v>63.20151443616179</v>
      </c>
      <c r="F54" s="18">
        <f t="shared" si="1"/>
        <v>74.86558459168435</v>
      </c>
    </row>
    <row r="55" spans="1:6" s="39" customFormat="1" ht="15">
      <c r="A55" s="40" t="s">
        <v>45</v>
      </c>
      <c r="B55" s="9">
        <f>SUM(B51)-B52-B53-B54</f>
        <v>13944.318</v>
      </c>
      <c r="C55" s="9">
        <f>SUM(C51)-C52-C53-C54</f>
        <v>13081.17</v>
      </c>
      <c r="D55" s="9">
        <f>SUM(D51)-D52-D53-D54</f>
        <v>11421.043000000001</v>
      </c>
      <c r="E55" s="18">
        <f t="shared" si="0"/>
        <v>81.90463671296081</v>
      </c>
      <c r="F55" s="18">
        <f t="shared" si="1"/>
        <v>87.30903275471537</v>
      </c>
    </row>
    <row r="56" spans="1:6" s="39" customFormat="1" ht="15">
      <c r="A56" s="38" t="s">
        <v>46</v>
      </c>
      <c r="B56" s="23">
        <f>200+4205.33</f>
        <v>4405.33</v>
      </c>
      <c r="C56" s="23">
        <f>200+4205.33</f>
        <v>4405.33</v>
      </c>
      <c r="D56" s="23">
        <v>3400.216</v>
      </c>
      <c r="E56" s="18">
        <f t="shared" si="0"/>
        <v>77.18413830518939</v>
      </c>
      <c r="F56" s="18">
        <f t="shared" si="1"/>
        <v>77.18413830518939</v>
      </c>
    </row>
    <row r="57" spans="1:6" s="39" customFormat="1" ht="28.5">
      <c r="A57" s="19" t="s">
        <v>51</v>
      </c>
      <c r="B57" s="20">
        <f>B58+B63</f>
        <v>294005.634</v>
      </c>
      <c r="C57" s="20">
        <f>C58+C63</f>
        <v>280974.653</v>
      </c>
      <c r="D57" s="20">
        <f>D58+D63</f>
        <v>216548.57789999997</v>
      </c>
      <c r="E57" s="17">
        <f t="shared" si="0"/>
        <v>73.65456741553461</v>
      </c>
      <c r="F57" s="17">
        <f t="shared" si="1"/>
        <v>77.07050283286586</v>
      </c>
    </row>
    <row r="58" spans="1:6" s="39" customFormat="1" ht="15">
      <c r="A58" s="38" t="s">
        <v>48</v>
      </c>
      <c r="B58" s="23">
        <v>194005.428</v>
      </c>
      <c r="C58" s="23">
        <v>180974.447</v>
      </c>
      <c r="D58" s="23">
        <f>127526.3153+1117.002+10791.2016</f>
        <v>139434.5189</v>
      </c>
      <c r="E58" s="18">
        <f>SUM(D58)/B58*100</f>
        <v>71.87145243173299</v>
      </c>
      <c r="F58" s="18">
        <f>SUM(D58)/C58*100</f>
        <v>77.04652298233022</v>
      </c>
    </row>
    <row r="59" spans="1:6" s="39" customFormat="1" ht="15">
      <c r="A59" s="40" t="s">
        <v>40</v>
      </c>
      <c r="B59" s="9">
        <v>423.637</v>
      </c>
      <c r="C59" s="9">
        <v>410.845</v>
      </c>
      <c r="D59" s="9">
        <v>344.226</v>
      </c>
      <c r="E59" s="18">
        <f t="shared" si="0"/>
        <v>81.25494232090209</v>
      </c>
      <c r="F59" s="18">
        <f t="shared" si="1"/>
        <v>83.78488237656536</v>
      </c>
    </row>
    <row r="60" spans="1:6" s="39" customFormat="1" ht="15">
      <c r="A60" s="40" t="s">
        <v>41</v>
      </c>
      <c r="B60" s="9">
        <v>153.961</v>
      </c>
      <c r="C60" s="9">
        <v>149.311</v>
      </c>
      <c r="D60" s="9">
        <v>122.272</v>
      </c>
      <c r="E60" s="18">
        <f t="shared" si="0"/>
        <v>79.417514825183</v>
      </c>
      <c r="F60" s="18">
        <f t="shared" si="1"/>
        <v>81.89081849294426</v>
      </c>
    </row>
    <row r="61" spans="1:6" s="39" customFormat="1" ht="30">
      <c r="A61" s="40" t="s">
        <v>44</v>
      </c>
      <c r="B61" s="9">
        <v>15891.008</v>
      </c>
      <c r="C61" s="9">
        <v>14115.278</v>
      </c>
      <c r="D61" s="9">
        <v>12296.535</v>
      </c>
      <c r="E61" s="18">
        <f t="shared" si="0"/>
        <v>77.38045943970326</v>
      </c>
      <c r="F61" s="18">
        <f t="shared" si="1"/>
        <v>87.11507488552475</v>
      </c>
    </row>
    <row r="62" spans="1:6" s="39" customFormat="1" ht="15">
      <c r="A62" s="40" t="s">
        <v>45</v>
      </c>
      <c r="B62" s="9">
        <f>SUM(B58)-B59-B60-B61</f>
        <v>177536.82200000001</v>
      </c>
      <c r="C62" s="9">
        <f>SUM(C58)-C59-C60-C61</f>
        <v>166299.013</v>
      </c>
      <c r="D62" s="9">
        <f>SUM(D58)-D59-D60-D61</f>
        <v>126671.4859</v>
      </c>
      <c r="E62" s="18">
        <f t="shared" si="0"/>
        <v>71.34941612281422</v>
      </c>
      <c r="F62" s="18">
        <f t="shared" si="1"/>
        <v>76.17091864519965</v>
      </c>
    </row>
    <row r="63" spans="1:6" s="39" customFormat="1" ht="15">
      <c r="A63" s="38" t="s">
        <v>46</v>
      </c>
      <c r="B63" s="23">
        <f>61251.718-35861.8+74373.288+237</f>
        <v>100000.206</v>
      </c>
      <c r="C63" s="23">
        <v>100000.206</v>
      </c>
      <c r="D63" s="23">
        <f>75790.394+1323.665</f>
        <v>77114.059</v>
      </c>
      <c r="E63" s="18">
        <f t="shared" si="0"/>
        <v>77.11390014536569</v>
      </c>
      <c r="F63" s="18">
        <f t="shared" si="1"/>
        <v>77.11390014536569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72801.421</v>
      </c>
      <c r="D64" s="20">
        <f>SUM(D65)</f>
        <v>36199.99</v>
      </c>
      <c r="E64" s="17">
        <f t="shared" si="0"/>
        <v>47.5916414119755</v>
      </c>
      <c r="F64" s="17">
        <f t="shared" si="1"/>
        <v>49.72429040911165</v>
      </c>
    </row>
    <row r="65" spans="1:6" s="39" customFormat="1" ht="15">
      <c r="A65" s="38" t="s">
        <v>46</v>
      </c>
      <c r="B65" s="23">
        <f>19538.959+63761.797-7237</f>
        <v>76063.756</v>
      </c>
      <c r="C65" s="23">
        <v>72801.421</v>
      </c>
      <c r="D65" s="23">
        <f>32829.729+3370.261</f>
        <v>36199.99</v>
      </c>
      <c r="E65" s="18">
        <f t="shared" si="0"/>
        <v>47.5916414119755</v>
      </c>
      <c r="F65" s="18">
        <f t="shared" si="1"/>
        <v>49.72429040911165</v>
      </c>
    </row>
    <row r="66" spans="1:6" s="39" customFormat="1" ht="15">
      <c r="A66" s="42" t="s">
        <v>53</v>
      </c>
      <c r="B66" s="20">
        <f>SUM(B67:B68)</f>
        <v>158783.844</v>
      </c>
      <c r="C66" s="20">
        <f>SUM(C67:C68)</f>
        <v>154732.573</v>
      </c>
      <c r="D66" s="20">
        <f>SUM(D67:D68)</f>
        <v>136615.532</v>
      </c>
      <c r="E66" s="17">
        <f t="shared" si="0"/>
        <v>86.03868539673344</v>
      </c>
      <c r="F66" s="17">
        <f t="shared" si="1"/>
        <v>88.2913851629676</v>
      </c>
    </row>
    <row r="67" spans="1:6" s="39" customFormat="1" ht="15">
      <c r="A67" s="38" t="s">
        <v>45</v>
      </c>
      <c r="B67" s="23">
        <v>60120.369</v>
      </c>
      <c r="C67" s="23">
        <v>57775.098</v>
      </c>
      <c r="D67" s="23">
        <v>52465.151</v>
      </c>
      <c r="E67" s="18">
        <f t="shared" si="0"/>
        <v>87.26684794632581</v>
      </c>
      <c r="F67" s="18">
        <f t="shared" si="1"/>
        <v>90.80928084276032</v>
      </c>
    </row>
    <row r="68" spans="1:6" s="39" customFormat="1" ht="15">
      <c r="A68" s="38" t="s">
        <v>46</v>
      </c>
      <c r="B68" s="23">
        <f>40309.086+52354.389+6000</f>
        <v>98663.475</v>
      </c>
      <c r="C68" s="23">
        <v>96957.475</v>
      </c>
      <c r="D68" s="23">
        <v>84150.381</v>
      </c>
      <c r="E68" s="18">
        <f t="shared" si="0"/>
        <v>85.29030727936554</v>
      </c>
      <c r="F68" s="18">
        <f t="shared" si="1"/>
        <v>86.79101946497677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33049.95</v>
      </c>
      <c r="E69" s="17">
        <f t="shared" si="0"/>
        <v>71.52739903908582</v>
      </c>
      <c r="F69" s="17">
        <f t="shared" si="1"/>
        <v>71.52739903908582</v>
      </c>
    </row>
    <row r="70" spans="1:6" s="39" customFormat="1" ht="15">
      <c r="A70" s="38" t="s">
        <v>46</v>
      </c>
      <c r="B70" s="23">
        <v>46206</v>
      </c>
      <c r="C70" s="23">
        <v>46206</v>
      </c>
      <c r="D70" s="23">
        <v>33049.95</v>
      </c>
      <c r="E70" s="18">
        <f t="shared" si="0"/>
        <v>71.52739903908582</v>
      </c>
      <c r="F70" s="18">
        <f t="shared" si="1"/>
        <v>71.52739903908582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6493.688</v>
      </c>
      <c r="D71" s="16">
        <f>SUM(D72)+D75</f>
        <v>4643.015</v>
      </c>
      <c r="E71" s="17">
        <f t="shared" si="0"/>
        <v>68.19238621175849</v>
      </c>
      <c r="F71" s="17">
        <f t="shared" si="1"/>
        <v>71.50043241991301</v>
      </c>
    </row>
    <row r="72" spans="1:6" s="39" customFormat="1" ht="15">
      <c r="A72" s="38" t="s">
        <v>48</v>
      </c>
      <c r="B72" s="23">
        <v>5036.657</v>
      </c>
      <c r="C72" s="23">
        <v>4721.645</v>
      </c>
      <c r="D72" s="23">
        <v>4322.015</v>
      </c>
      <c r="E72" s="18">
        <f>SUM(D72)/B72*100</f>
        <v>85.81118388645484</v>
      </c>
      <c r="F72" s="18">
        <f>SUM(D72)/C72*100</f>
        <v>91.53621248526731</v>
      </c>
    </row>
    <row r="73" spans="1:6" s="39" customFormat="1" ht="30">
      <c r="A73" s="40" t="s">
        <v>44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</row>
    <row r="74" spans="1:6" s="39" customFormat="1" ht="15">
      <c r="A74" s="40" t="s">
        <v>45</v>
      </c>
      <c r="B74" s="9">
        <f>SUM(B72)-B73</f>
        <v>5030.585</v>
      </c>
      <c r="C74" s="9">
        <f>SUM(C72)-C73</f>
        <v>4716.273</v>
      </c>
      <c r="D74" s="9">
        <f>SUM(D72)-D73</f>
        <v>4320.525000000001</v>
      </c>
      <c r="E74" s="18">
        <f aca="true" t="shared" si="2" ref="E74:E93">SUM(D74)/B74*100</f>
        <v>85.88514059498051</v>
      </c>
      <c r="F74" s="18">
        <f aca="true" t="shared" si="3" ref="F74:F92">SUM(D74)/C74*100</f>
        <v>91.60888269190525</v>
      </c>
    </row>
    <row r="75" spans="1:6" s="39" customFormat="1" ht="15">
      <c r="A75" s="38" t="s">
        <v>46</v>
      </c>
      <c r="B75" s="23">
        <f>1700+72.043</f>
        <v>1772.0430000000001</v>
      </c>
      <c r="C75" s="23">
        <f>1700+72.043</f>
        <v>1772.0430000000001</v>
      </c>
      <c r="D75" s="23">
        <v>321</v>
      </c>
      <c r="E75" s="18">
        <f t="shared" si="2"/>
        <v>18.114684575938618</v>
      </c>
      <c r="F75" s="18">
        <f t="shared" si="3"/>
        <v>18.114684575938618</v>
      </c>
    </row>
    <row r="76" spans="1:6" s="39" customFormat="1" ht="14.25">
      <c r="A76" s="42" t="s">
        <v>56</v>
      </c>
      <c r="B76" s="16">
        <v>2500</v>
      </c>
      <c r="C76" s="16">
        <v>1700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16883.6</v>
      </c>
      <c r="D77" s="16">
        <v>16372</v>
      </c>
      <c r="E77" s="17">
        <f t="shared" si="2"/>
        <v>88.88937149806713</v>
      </c>
      <c r="F77" s="17">
        <f t="shared" si="3"/>
        <v>96.96984055533181</v>
      </c>
    </row>
    <row r="78" spans="1:6" s="37" customFormat="1" ht="14.25">
      <c r="A78" s="35" t="s">
        <v>58</v>
      </c>
      <c r="B78" s="16">
        <f>SUM(B79)+B83</f>
        <v>14322.497</v>
      </c>
      <c r="C78" s="16">
        <f>SUM(C79)+C83</f>
        <v>14153.777</v>
      </c>
      <c r="D78" s="16">
        <f>SUM(D79)+D83</f>
        <v>12339.166799999999</v>
      </c>
      <c r="E78" s="17">
        <f t="shared" si="2"/>
        <v>86.15234340771724</v>
      </c>
      <c r="F78" s="17">
        <f t="shared" si="3"/>
        <v>87.17932181636039</v>
      </c>
    </row>
    <row r="79" spans="1:6" s="37" customFormat="1" ht="15">
      <c r="A79" s="38" t="s">
        <v>48</v>
      </c>
      <c r="B79" s="23">
        <f>8440.456-571.501+470.8+119+344.868+89.88+2098.6</f>
        <v>10992.103</v>
      </c>
      <c r="C79" s="23">
        <f>8724.783+2098.6</f>
        <v>10823.383</v>
      </c>
      <c r="D79" s="23">
        <f>6661.9743+907.331+195.308+181.219</f>
        <v>7945.8323</v>
      </c>
      <c r="E79" s="18">
        <f>SUM(D79)/B79*100</f>
        <v>72.28673439468317</v>
      </c>
      <c r="F79" s="18">
        <f>SUM(D79)/C79*100</f>
        <v>73.41357411079326</v>
      </c>
    </row>
    <row r="80" spans="1:6" s="39" customFormat="1" ht="15">
      <c r="A80" s="40" t="s">
        <v>40</v>
      </c>
      <c r="B80" s="9">
        <f>98.3+1977.142+251.502+1034.435</f>
        <v>3361.379</v>
      </c>
      <c r="C80" s="9">
        <f>98.3+2228.644+1034.435</f>
        <v>3361.379</v>
      </c>
      <c r="D80" s="9">
        <v>2315.078</v>
      </c>
      <c r="E80" s="18">
        <f t="shared" si="2"/>
        <v>68.87286438095794</v>
      </c>
      <c r="F80" s="18">
        <f t="shared" si="3"/>
        <v>68.87286438095794</v>
      </c>
    </row>
    <row r="81" spans="1:6" s="39" customFormat="1" ht="15">
      <c r="A81" s="40" t="s">
        <v>41</v>
      </c>
      <c r="B81" s="9">
        <f>33.7+716.409+91.083+358.908</f>
        <v>1200.1</v>
      </c>
      <c r="C81" s="9">
        <f>33.7+713.371+86.7+366.329</f>
        <v>1200.1000000000001</v>
      </c>
      <c r="D81" s="9">
        <v>803.333</v>
      </c>
      <c r="E81" s="18">
        <f t="shared" si="2"/>
        <v>66.93883843013082</v>
      </c>
      <c r="F81" s="18">
        <f t="shared" si="3"/>
        <v>66.93883843013082</v>
      </c>
    </row>
    <row r="82" spans="1:6" s="39" customFormat="1" ht="15">
      <c r="A82" s="40" t="s">
        <v>45</v>
      </c>
      <c r="B82" s="9">
        <f>SUM(B79)-B80-B81</f>
        <v>6430.624</v>
      </c>
      <c r="C82" s="9">
        <f>SUM(C79)-C80-C81</f>
        <v>6261.9039999999995</v>
      </c>
      <c r="D82" s="9">
        <f>SUM(D79)-D80-D81</f>
        <v>4827.421300000001</v>
      </c>
      <c r="E82" s="18">
        <f t="shared" si="2"/>
        <v>75.06925144433886</v>
      </c>
      <c r="F82" s="18">
        <f t="shared" si="3"/>
        <v>77.09190846745656</v>
      </c>
    </row>
    <row r="83" spans="1:6" s="39" customFormat="1" ht="15">
      <c r="A83" s="38" t="s">
        <v>46</v>
      </c>
      <c r="B83" s="23">
        <f>3330.394</f>
        <v>3330.394</v>
      </c>
      <c r="C83" s="23">
        <f>3330.394</f>
        <v>3330.394</v>
      </c>
      <c r="D83" s="23">
        <f>2888.4425+125.893+1378.999</f>
        <v>4393.3345</v>
      </c>
      <c r="E83" s="18">
        <f t="shared" si="2"/>
        <v>131.91635884522972</v>
      </c>
      <c r="F83" s="18">
        <f t="shared" si="3"/>
        <v>131.91635884522972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</row>
    <row r="85" spans="1:13" s="48" customFormat="1" ht="15.75">
      <c r="A85" s="45" t="s">
        <v>60</v>
      </c>
      <c r="B85" s="26">
        <f>B5+B14+B23+B36+B43+B50+B57+B64+B66+B69+B71+B76+B77+B78+B84</f>
        <v>2528509.3449999997</v>
      </c>
      <c r="C85" s="26">
        <f>C5+C14+C23+C36+C43+C50+C57+C64+C66+C69+C71+C76+C77+C78+C84</f>
        <v>2240661.8943399996</v>
      </c>
      <c r="D85" s="26">
        <f>D5+D14+D23+D36+D43+D50+D57+D64+D66+D69+D71+D76+D77+D78+D84</f>
        <v>1926367.5756999997</v>
      </c>
      <c r="E85" s="17">
        <f t="shared" si="2"/>
        <v>76.18589899654889</v>
      </c>
      <c r="F85" s="17">
        <f t="shared" si="3"/>
        <v>85.97314840610626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2093807.9139999999</v>
      </c>
      <c r="C86" s="26">
        <f>C6+C15+C24+C37+C44+C51+C58+C67+C72+C79+C77</f>
        <v>1812441.0333399996</v>
      </c>
      <c r="D86" s="26">
        <f>D6+D15+D24+D37+D44+D51+D58+D67+D72+D79+D77</f>
        <v>1610292.1712</v>
      </c>
      <c r="E86" s="17">
        <f>SUM(D86)/B86*100</f>
        <v>76.90734954400406</v>
      </c>
      <c r="F86" s="17">
        <f>SUM(D86)/C86*100</f>
        <v>88.8465964728532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561291.701</v>
      </c>
      <c r="C87" s="20">
        <f t="shared" si="4"/>
        <v>513081.611</v>
      </c>
      <c r="D87" s="20">
        <f t="shared" si="4"/>
        <v>472254.47</v>
      </c>
      <c r="E87" s="17">
        <f t="shared" si="2"/>
        <v>84.13708400794616</v>
      </c>
      <c r="F87" s="17">
        <f t="shared" si="3"/>
        <v>92.04275886628882</v>
      </c>
    </row>
    <row r="88" spans="1:6" ht="15">
      <c r="A88" s="49" t="s">
        <v>41</v>
      </c>
      <c r="B88" s="20">
        <f t="shared" si="4"/>
        <v>203230.36700000003</v>
      </c>
      <c r="C88" s="20">
        <f t="shared" si="4"/>
        <v>186155.10799999998</v>
      </c>
      <c r="D88" s="20">
        <f t="shared" si="4"/>
        <v>170972.09300000002</v>
      </c>
      <c r="E88" s="17">
        <f t="shared" si="2"/>
        <v>84.1272372450127</v>
      </c>
      <c r="F88" s="17">
        <f t="shared" si="3"/>
        <v>91.84389020364677</v>
      </c>
    </row>
    <row r="89" spans="1:6" ht="15">
      <c r="A89" s="49" t="s">
        <v>61</v>
      </c>
      <c r="B89" s="20">
        <f>B73+B11+B20+B29+B40+B47+B54+B61+60</f>
        <v>139004.103</v>
      </c>
      <c r="C89" s="20">
        <f>C73+C11+C20+C29+C40+C47+C54+C61+34.5</f>
        <v>117417.036</v>
      </c>
      <c r="D89" s="20">
        <f>D73+D11+D20+D29+D40+D47+D54+D61</f>
        <v>93454.902</v>
      </c>
      <c r="E89" s="17">
        <f t="shared" si="2"/>
        <v>67.23175789998083</v>
      </c>
      <c r="F89" s="17">
        <f t="shared" si="3"/>
        <v>79.59228505819208</v>
      </c>
    </row>
    <row r="90" spans="1:6" ht="15">
      <c r="A90" s="49" t="s">
        <v>45</v>
      </c>
      <c r="B90" s="20">
        <f>B86-B87-B88-B89</f>
        <v>1190281.7429999998</v>
      </c>
      <c r="C90" s="20">
        <f>C86-C87-C88-C89</f>
        <v>995787.2783399996</v>
      </c>
      <c r="D90" s="20">
        <f>D86-D87-D88-D89</f>
        <v>873610.7062</v>
      </c>
      <c r="E90" s="17">
        <f t="shared" si="2"/>
        <v>73.3952874046561</v>
      </c>
      <c r="F90" s="17">
        <f t="shared" si="3"/>
        <v>87.73065545247066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408175.63200000004</v>
      </c>
      <c r="D91" s="16">
        <f>D13+D22+D42+D34+D56+D63+D65+D68+D70+D75+D83+D49</f>
        <v>297777.8735</v>
      </c>
      <c r="E91" s="17">
        <f t="shared" si="2"/>
        <v>71.95201426509007</v>
      </c>
      <c r="F91" s="17">
        <f t="shared" si="3"/>
        <v>72.95336863715566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28.5">
      <c r="A93" s="35" t="s">
        <v>63</v>
      </c>
      <c r="B93" s="16">
        <f>SUM(B76)</f>
        <v>2500</v>
      </c>
      <c r="C93" s="16">
        <f>SUM(C76)</f>
        <v>1700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2015-11-16T11:55:21Z</cp:lastPrinted>
  <dcterms:created xsi:type="dcterms:W3CDTF">2015-04-07T07:35:57Z</dcterms:created>
  <dcterms:modified xsi:type="dcterms:W3CDTF">2015-11-23T13:10:35Z</dcterms:modified>
  <cp:category/>
  <cp:version/>
  <cp:contentType/>
  <cp:contentStatus/>
</cp:coreProperties>
</file>