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tabRatio="765" activeTab="1"/>
  </bookViews>
  <sheets>
    <sheet name="Ф-1" sheetId="1" r:id="rId1"/>
    <sheet name="БЗ" sheetId="2" r:id="rId2"/>
    <sheet name="Розрах. поточ." sheetId="3" r:id="rId3"/>
    <sheet name="Кап.2020" sheetId="4" r:id="rId4"/>
    <sheet name="Кап.2021" sheetId="5" r:id="rId5"/>
    <sheet name="Кап.2022" sheetId="6" r:id="rId6"/>
    <sheet name="Поясн записка" sheetId="7" r:id="rId7"/>
    <sheet name="1 штат чис" sheetId="8" r:id="rId8"/>
    <sheet name="5 енергоносії" sheetId="9" r:id="rId9"/>
    <sheet name="9 кап вид" sheetId="10" r:id="rId10"/>
  </sheets>
  <externalReferences>
    <externalReference r:id="rId13"/>
  </externalReferences>
  <definedNames>
    <definedName name="_xlnm.Print_Area" localSheetId="1">'БЗ'!$A$1:$P$318</definedName>
  </definedNames>
  <calcPr fullCalcOnLoad="1" refMode="R1C1"/>
</workbook>
</file>

<file path=xl/sharedStrings.xml><?xml version="1.0" encoding="utf-8"?>
<sst xmlns="http://schemas.openxmlformats.org/spreadsheetml/2006/main" count="1791" uniqueCount="714">
  <si>
    <t>ЗАТВЕРДЖЕНО</t>
  </si>
  <si>
    <t>Наказ Міністерства фінансів України</t>
  </si>
  <si>
    <t>(у редакції наказу Міністерства фінансів України</t>
  </si>
  <si>
    <t>1. Департамент праці та соціального захисту населення Миколаївської міської ради</t>
  </si>
  <si>
    <t xml:space="preserve">                   (найменування головного розпорядника коштів місцевого бюджету)</t>
  </si>
  <si>
    <t>2. Департамент праці та соціального захисту населення Миколаївської міської ради</t>
  </si>
  <si>
    <t xml:space="preserve">                                            (найменування відповідального виконавця)</t>
  </si>
  <si>
    <t>1. Конституція України від 28.06.1996 р. № 254/к96-ВР</t>
  </si>
  <si>
    <t>2. Бюджетний кодекс України від 08.07.10 р. № 2456-YI.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</si>
  <si>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</si>
  <si>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</si>
  <si>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</si>
  <si>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</si>
  <si>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</si>
  <si>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</si>
  <si>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>разом
(3 + 4)</t>
  </si>
  <si>
    <t>разом
(7 + 8)</t>
  </si>
  <si>
    <t>разом
(11 + 12)</t>
  </si>
  <si>
    <t xml:space="preserve"> </t>
  </si>
  <si>
    <t>Надходження із загального фонду бюджету</t>
  </si>
  <si>
    <t>Х</t>
  </si>
  <si>
    <t>Інші надходження спеціального фонду
(розписати за видами надходжень)</t>
  </si>
  <si>
    <t>Повернення кредитів до бюджету</t>
  </si>
  <si>
    <t>УСЬОГО</t>
  </si>
  <si>
    <t>2020 рік (прогноз)</t>
  </si>
  <si>
    <t>2021 рік (прогноз)</t>
  </si>
  <si>
    <t>Інші надходження спеціального фонду 
(розписати за видами надходжень)</t>
  </si>
  <si>
    <t>6. Витрати за кодами Економічної класифікації видатків / Класифікації кредитування бюджету:</t>
  </si>
  <si>
    <t>Код Класифікації кредитування бюджету</t>
  </si>
  <si>
    <t>3) видатки за кодами Економічної класифікації видатків бюджету у 2020 - 2021 роках: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</si>
  <si>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</si>
  <si>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</si>
  <si>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</si>
  <si>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N  з/п</t>
  </si>
  <si>
    <t>Показники</t>
  </si>
  <si>
    <t>Одиниця виміру</t>
  </si>
  <si>
    <t>Джерело інформації</t>
  </si>
  <si>
    <t>разом
(5 + 6)</t>
  </si>
  <si>
    <t>разом
(8 + 9)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</si>
  <si>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</si>
  <si>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</si>
  <si>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</si>
  <si>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</si>
  <si>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</si>
  <si>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</si>
  <si>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</si>
  <si>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</si>
  <si>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затверджено</t>
  </si>
  <si>
    <t>фактично зайняті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</si>
  <si>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</si>
  <si>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</si>
  <si>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</si>
  <si>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разом
(4 + 5)</t>
  </si>
  <si>
    <t>разом
(10 + 11)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</si>
  <si>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</si>
  <si>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</si>
  <si>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</si>
  <si>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</si>
  <si>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</si>
  <si>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</si>
  <si>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</si>
  <si>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 /  надання 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</si>
  <si>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</si>
  <si>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</si>
  <si>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
(6 - 5)</t>
  </si>
  <si>
    <t>Погашено кредиторську заборгованість за рахунок коштів</t>
  </si>
  <si>
    <t>Бюджетні зобов'язання 
 (4 + 6)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</si>
  <si>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</si>
  <si>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</si>
  <si>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</si>
  <si>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</si>
  <si>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</si>
  <si>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зобов'язань 
(3 - 5)</t>
  </si>
  <si>
    <t>граничний обсяг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</si>
  <si>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</si>
  <si>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</si>
  <si>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</si>
  <si>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</si>
  <si>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</si>
  <si>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</si>
  <si>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</si>
  <si>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4. ЗУ "Про місцеве самоврядування в Україні" </t>
  </si>
  <si>
    <t>0810160</t>
  </si>
  <si>
    <t>Здійснення наданих законодавством повноважень у сфері праці та соціального захисту населення</t>
  </si>
  <si>
    <t>Придбання обладнання та предметів довгострокового користування</t>
  </si>
  <si>
    <t>Керівництво і управління у відповідній сфері у містах (місті Києві), селищах, селах, об'єднаних територіальних громадах</t>
  </si>
  <si>
    <t>Код економічної класифікації видатків бюджету</t>
  </si>
  <si>
    <t>2111</t>
  </si>
  <si>
    <t>Заробітна плата</t>
  </si>
  <si>
    <t>2120</t>
  </si>
  <si>
    <t>Нарахування на заробітну плату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</si>
  <si>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</si>
  <si>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</si>
  <si>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</si>
  <si>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</si>
  <si>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</si>
  <si>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 xml:space="preserve">Видатки на відрядження 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</si>
  <si>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</si>
  <si>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</si>
  <si>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</si>
  <si>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</si>
  <si>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</si>
  <si>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</si>
  <si>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</si>
  <si>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</si>
  <si>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</si>
  <si>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(регілнальних) програм, не віднесені дозаходів розвитку</t>
  </si>
  <si>
    <t>2800</t>
  </si>
  <si>
    <t>Інші поточні видатки</t>
  </si>
  <si>
    <t>3110</t>
  </si>
  <si>
    <t>1</t>
  </si>
  <si>
    <t>2</t>
  </si>
  <si>
    <t>Стимулюючі доплати та надбавки</t>
  </si>
  <si>
    <t>Премії</t>
  </si>
  <si>
    <t>Матеріальна допомога</t>
  </si>
  <si>
    <t xml:space="preserve">Інші виплати </t>
  </si>
  <si>
    <t>Індексація</t>
  </si>
  <si>
    <t xml:space="preserve">Спеціалісти </t>
  </si>
  <si>
    <t>Обслуговуючий персонал</t>
  </si>
  <si>
    <t>Кількість штатних одиниць</t>
  </si>
  <si>
    <t>шт.од.</t>
  </si>
  <si>
    <t>Штатний розпис</t>
  </si>
  <si>
    <t>Кількість отриманих листів, звернень, заяв, скарг</t>
  </si>
  <si>
    <t>од.</t>
  </si>
  <si>
    <t>Щомісячна Інформація про діяльність районних УСВіК, регістри реєстрації вхідної кореспонденції, заяв, звернень, скарг</t>
  </si>
  <si>
    <t>Кількість прийнятих нормативно-правових актів</t>
  </si>
  <si>
    <t>Кількість виконаних листів, звернень, заяв, скарг на 1 працівника</t>
  </si>
  <si>
    <t>Кількість прийнятих нормативно-правових актів на одного працівника</t>
  </si>
  <si>
    <t>тис.грн.</t>
  </si>
  <si>
    <t>розрахунок</t>
  </si>
  <si>
    <t>Економія коштів на рік, що виникла за результатами впровадження в експлуатацію придбаного обладнання</t>
  </si>
  <si>
    <t>Державні службовці</t>
  </si>
  <si>
    <t>2019 рік</t>
  </si>
  <si>
    <t>2020 рік</t>
  </si>
  <si>
    <t>2021 рік</t>
  </si>
  <si>
    <t>Рішення ММР від 05.04.2016 № 4/14</t>
  </si>
  <si>
    <t>Дебіторська заборгованість на 01.01.2018</t>
  </si>
  <si>
    <t>Предмети, матеріали</t>
  </si>
  <si>
    <t>Передплата пріодичних видань</t>
  </si>
  <si>
    <t>Директор департаменту</t>
  </si>
  <si>
    <t>Начальник планового ваідділу</t>
  </si>
  <si>
    <t>С.М.Василенко</t>
  </si>
  <si>
    <t>Н.Г.Федоровська</t>
  </si>
  <si>
    <t>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</si>
  <si>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3132</t>
  </si>
  <si>
    <t>Капітальний ремонт інших об'єктів</t>
  </si>
  <si>
    <t>Середні витрати на одиницю придбаного обладнання</t>
  </si>
  <si>
    <t>Кількість одиниць придбаного обладнання</t>
  </si>
  <si>
    <t>602400</t>
  </si>
  <si>
    <t>Кошти, що передаються із загального фонду бюджету до бюджету розвитку (спеціального фонду)</t>
  </si>
  <si>
    <t>%</t>
  </si>
  <si>
    <t>Дебіторська заборгованість зненшується по факту доставки періодичних видань</t>
  </si>
  <si>
    <r>
      <t xml:space="preserve">1) мета бюджетної програми, строки її реалізації: </t>
    </r>
    <r>
      <rPr>
        <sz val="10"/>
        <color indexed="8"/>
        <rFont val="Times New Roman"/>
        <family val="1"/>
      </rPr>
      <t>Керівництво і управління у сфері праці та соціального захисту населення</t>
    </r>
  </si>
  <si>
    <t>3) підстави реалізації бюджетної програми.</t>
  </si>
  <si>
    <t>5. Надходження для виконання бюджетної програми:</t>
  </si>
  <si>
    <t>2) надходження для виконання бюджетної програми у 2020 - 2021 роках: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</si>
  <si>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</si>
  <si>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</si>
  <si>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r>
      <t xml:space="preserve">2) завдання бюджетної програми: </t>
    </r>
    <r>
      <rPr>
        <sz val="10"/>
        <color indexed="8"/>
        <rFont val="Times New Roman"/>
        <family val="1"/>
      </rPr>
      <t>Здійснення наданих законодавством повноважень у сфері праці та соціального захисту населення.</t>
    </r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</si>
  <si>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</si>
  <si>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</si>
  <si>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</si>
  <si>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</si>
  <si>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</si>
  <si>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</si>
  <si>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</si>
  <si>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</si>
  <si>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</si>
  <si>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0160</t>
  </si>
  <si>
    <t>0111</t>
  </si>
  <si>
    <t xml:space="preserve">Керівництво і управління у відповідній сфері у містах (місті Києві), селищах, селах, об'єднаних територіальних громадах </t>
  </si>
  <si>
    <t>4. Мета та завдання бюджетної програми на 2020 - 2022 роки:</t>
  </si>
  <si>
    <t>Департамент праці та соціального захисту населення Миколаївської міської ради</t>
  </si>
  <si>
    <t>Загальний фонд</t>
  </si>
  <si>
    <t>РІК</t>
  </si>
  <si>
    <t>Ціна-2019, грн.</t>
  </si>
  <si>
    <t>Ціна-2020, грн.</t>
  </si>
  <si>
    <t>Кількість</t>
  </si>
  <si>
    <t>Разом, грн.</t>
  </si>
  <si>
    <t>2022 рік</t>
  </si>
  <si>
    <t>Оплата праці і нарахування на заробітну плату</t>
  </si>
  <si>
    <t>Всього згідно штатного розпису, в т.ч.</t>
  </si>
  <si>
    <t>Посадовий оклад з урахуванням підвищення</t>
  </si>
  <si>
    <t>з 01.01.20                         1 043 796*12 міс.</t>
  </si>
  <si>
    <t xml:space="preserve">з 01.01.2021 р.                    </t>
  </si>
  <si>
    <t xml:space="preserve">з 01.01.2022 р.                   </t>
  </si>
  <si>
    <t>Надбавка за високі досягнення з 01.01.20</t>
  </si>
  <si>
    <t>Надбавка за високі досягнення з 01.01.21</t>
  </si>
  <si>
    <t>Надбавка за високі досягнення з 01.01.22</t>
  </si>
  <si>
    <t xml:space="preserve">Надбавка за ранг </t>
  </si>
  <si>
    <t>Надбавка за вислугу років</t>
  </si>
  <si>
    <t xml:space="preserve">з 01.01.21 р.              </t>
  </si>
  <si>
    <t xml:space="preserve">з 01.01.22 р.              </t>
  </si>
  <si>
    <t>Надбавка за класність водіям     з 01.01.20р.</t>
  </si>
  <si>
    <t>828,45*12 міс.</t>
  </si>
  <si>
    <t>Надбавка за класність водіям     з 01.01.21р.</t>
  </si>
  <si>
    <t>Надбавка за класність водіям     з 01.01.22р.</t>
  </si>
  <si>
    <t>Доплата за ненормований робочий день водіям</t>
  </si>
  <si>
    <t>3 01.01.20 р.             1775,25 *12 міс.</t>
  </si>
  <si>
    <t xml:space="preserve">3 01.01.21 р.             </t>
  </si>
  <si>
    <t xml:space="preserve">3 01.01.22 р.             </t>
  </si>
  <si>
    <t>Доплата за прибиральницям за роботу з дезінфикуючими засобами</t>
  </si>
  <si>
    <t>з 01.01.20 р.                       940,40 *12 міс.</t>
  </si>
  <si>
    <t xml:space="preserve">з 01.01.21 р.                       </t>
  </si>
  <si>
    <t xml:space="preserve">з 01.01.22 р.                       </t>
  </si>
  <si>
    <t>Премія                       з 01.01.19</t>
  </si>
  <si>
    <t>Премія                       з 01.01.20</t>
  </si>
  <si>
    <t>Премія                       з 01.01.21</t>
  </si>
  <si>
    <t>Надбавка за особливий характер роботи</t>
  </si>
  <si>
    <t>з 01.01.20              4600*12 міс.*30 ос.*50%</t>
  </si>
  <si>
    <t>з 01.01.21             4600*12 міс.*30 ос.*50%</t>
  </si>
  <si>
    <t>з 01.01.22              4600*12 міс.*30 ос.*50%</t>
  </si>
  <si>
    <t>Заміщення на період відпустки прибиральниць</t>
  </si>
  <si>
    <t>з 01.01.20 р.        4 ос.* (4723+472,30)</t>
  </si>
  <si>
    <t>з 01.01.2021 р.        4 ос.* (5003+500,30)</t>
  </si>
  <si>
    <t>з 01.01.2022 р.        4 ос.* (5290+529)</t>
  </si>
  <si>
    <t xml:space="preserve">Мат.допомога на оздоровлення </t>
  </si>
  <si>
    <t>Мат.допомога на оздоровлення</t>
  </si>
  <si>
    <t xml:space="preserve">Мат.доп.на виріш.соц.-побут.пит. </t>
  </si>
  <si>
    <t>Індексація з 01.01.20 р.: 195*232,44*12 міс.</t>
  </si>
  <si>
    <t>Індексація з 01.01.21 р.: 195*117,72*12 міс.</t>
  </si>
  <si>
    <t>Індексація з 01.01.22 р.: 195*171,91*12 міс.</t>
  </si>
  <si>
    <t>Нарахування на заробітну плату (22%)</t>
  </si>
  <si>
    <t>Фонд оплати праці на 2019 р. ( без урахування інвалідів)</t>
  </si>
  <si>
    <t>Нарахування на заробітну плату інвалідів            (754 677,60*8,41%)</t>
  </si>
  <si>
    <t>Розмір нарахувань на заробітну плату 22%</t>
  </si>
  <si>
    <t>Дебіторська заборгованість на початок року</t>
  </si>
  <si>
    <t>Використання товарів і послуг</t>
  </si>
  <si>
    <t>Бланки</t>
  </si>
  <si>
    <t>Декларація на призначення ДСД -нові</t>
  </si>
  <si>
    <t>шт</t>
  </si>
  <si>
    <t>Декларація на призначення субсидії</t>
  </si>
  <si>
    <t>Журнал архівних справ</t>
  </si>
  <si>
    <t>Журнал видачі довідок та повід.</t>
  </si>
  <si>
    <t>Журнал видачі особових справ</t>
  </si>
  <si>
    <t xml:space="preserve">Журнал обліку для заб.сан-кур.лік </t>
  </si>
  <si>
    <t>Журнал реєстрації довідок (100 арк)</t>
  </si>
  <si>
    <t>Журнал особових рахунків (ФЗ)</t>
  </si>
  <si>
    <t>Журнал реєстрації заяв про взяття
 на облік для заб. ТЗР</t>
  </si>
  <si>
    <t xml:space="preserve">Журнал реєстрації пенсійних (особових) рахунків </t>
  </si>
  <si>
    <t>Журнал реєстрації заяв і докум для признач.усіх видів соц.допом.</t>
  </si>
  <si>
    <t xml:space="preserve">Журнал реєстрації заяв і докум для знятт з обліку </t>
  </si>
  <si>
    <t>Журнал реєстрації надміру виплачених
коштів ДСД</t>
  </si>
  <si>
    <t>Журнал реєстрації обробки заяв (ОС)</t>
  </si>
  <si>
    <t>Журнал реєстрації прийняття заяв</t>
  </si>
  <si>
    <t>Журнал реєстрації прийняття рішень</t>
  </si>
  <si>
    <t>Журнал (100 арк)</t>
  </si>
  <si>
    <t>Журнал (50 арк)</t>
  </si>
  <si>
    <t>Заява про взяття на облік сан-кур-лік</t>
  </si>
  <si>
    <t>Заява про взяття на облік по заб. ТЗР</t>
  </si>
  <si>
    <t>Заяви для призначення ДСД-нові</t>
  </si>
  <si>
    <t>Заяви для призначення субсидії</t>
  </si>
  <si>
    <t>картка-особовий рахунок</t>
  </si>
  <si>
    <t>Картка особи про забезпечення ТЗР</t>
  </si>
  <si>
    <t>Особ.рах.для обліку УВ комп.вип.</t>
  </si>
  <si>
    <t>Особові рахунки одержувачів допомог</t>
  </si>
  <si>
    <t>Реєстри передачі особових справ</t>
  </si>
  <si>
    <t xml:space="preserve">Періодичні видання </t>
  </si>
  <si>
    <t>Канцтовари</t>
  </si>
  <si>
    <t>Антисплер</t>
  </si>
  <si>
    <t>Біндери великі</t>
  </si>
  <si>
    <t>уп</t>
  </si>
  <si>
    <t>Біндери середні</t>
  </si>
  <si>
    <t>Блокнот для нотаток</t>
  </si>
  <si>
    <t>Голка велика</t>
  </si>
  <si>
    <t xml:space="preserve">Дирокол </t>
  </si>
  <si>
    <t>Зошит 24 арк</t>
  </si>
  <si>
    <t>Зошит 48 арк</t>
  </si>
  <si>
    <t>Зошит 96 арк</t>
  </si>
  <si>
    <t>Індекс-регістри пластикові (закладки)</t>
  </si>
  <si>
    <t>Калькулятори</t>
  </si>
  <si>
    <t>Картон кольоровий</t>
  </si>
  <si>
    <t>пач.</t>
  </si>
  <si>
    <t>Канцелярські набори під ручки та олівці</t>
  </si>
  <si>
    <t>Клей ПВА</t>
  </si>
  <si>
    <t>Клей-олівець</t>
  </si>
  <si>
    <t>Книга канцелярська 196арк</t>
  </si>
  <si>
    <t>Книга канцелярська 96 арк</t>
  </si>
  <si>
    <t>Кнопки канцелярські</t>
  </si>
  <si>
    <t>уп.</t>
  </si>
  <si>
    <t>Коректор - стрічка</t>
  </si>
  <si>
    <t>Коректор олівець</t>
  </si>
  <si>
    <t>Ластик</t>
  </si>
  <si>
    <t>Лінійка</t>
  </si>
  <si>
    <t>Лупа</t>
  </si>
  <si>
    <t>Маркери чорні</t>
  </si>
  <si>
    <t>Маркери кольорові</t>
  </si>
  <si>
    <t>Марки для конвертів</t>
  </si>
  <si>
    <t>Ножиці</t>
  </si>
  <si>
    <t>Нитки для прошивання докум.</t>
  </si>
  <si>
    <t>Олівець</t>
  </si>
  <si>
    <t>Папір для нотаток (клей)</t>
  </si>
  <si>
    <t>Папір для факсу</t>
  </si>
  <si>
    <t>Папір білий (А4 пл.80)</t>
  </si>
  <si>
    <t>кор.</t>
  </si>
  <si>
    <t>Токен</t>
  </si>
  <si>
    <t>ящ</t>
  </si>
  <si>
    <t>Папір перфорований СПФ 45-210-12</t>
  </si>
  <si>
    <t>Папір рулонний (210) Е 55</t>
  </si>
  <si>
    <t>рул</t>
  </si>
  <si>
    <t>Папір рулонний (420) Е 55</t>
  </si>
  <si>
    <t>Папка-планшет</t>
  </si>
  <si>
    <t>Папка А4 на 2 кільця</t>
  </si>
  <si>
    <t xml:space="preserve">Папка на стрічках </t>
  </si>
  <si>
    <t>Папка с кнопкой</t>
  </si>
  <si>
    <t>Папка на резинках</t>
  </si>
  <si>
    <t>Папка пласт. (кут)</t>
  </si>
  <si>
    <t>Подорожні листи (100 арк. В блоці)</t>
  </si>
  <si>
    <t>блок</t>
  </si>
  <si>
    <t>Прапор України</t>
  </si>
  <si>
    <t>Ручки</t>
  </si>
  <si>
    <t>Самонабірний штамп</t>
  </si>
  <si>
    <t>шт.</t>
  </si>
  <si>
    <t>Стакан для ручок (поворт.)</t>
  </si>
  <si>
    <t>Сегрегатори  7 мм</t>
  </si>
  <si>
    <t>Сегрегатор 5 мм</t>
  </si>
  <si>
    <t>Скоби для степлера 10</t>
  </si>
  <si>
    <t>Скоби для степлера 24/6</t>
  </si>
  <si>
    <t>Скоби для степлера 23х13</t>
  </si>
  <si>
    <t>Скотч великий</t>
  </si>
  <si>
    <t>Скотч маленький</t>
  </si>
  <si>
    <t>Скріпки вел</t>
  </si>
  <si>
    <t>Скріпки мал</t>
  </si>
  <si>
    <t>Скріпки кольор.</t>
  </si>
  <si>
    <t>Стенди інф.</t>
  </si>
  <si>
    <t>Степлер 10</t>
  </si>
  <si>
    <t>Степлер 24</t>
  </si>
  <si>
    <t>Степлер 26</t>
  </si>
  <si>
    <t>Стержні для ручки</t>
  </si>
  <si>
    <t>Стрічка для принтера 13х16</t>
  </si>
  <si>
    <t>Стрічка для прінтера 13х12</t>
  </si>
  <si>
    <t>Телефонний  апарати</t>
  </si>
  <si>
    <t>Телефонний  апарат на 1 трубку</t>
  </si>
  <si>
    <t>Уголок пластиковий</t>
  </si>
  <si>
    <t>Файли А4</t>
  </si>
  <si>
    <t>Фарба штемпельна</t>
  </si>
  <si>
    <t>Флешка</t>
  </si>
  <si>
    <t>Чинка</t>
  </si>
  <si>
    <t>Швидкозшивач пластикові</t>
  </si>
  <si>
    <t>Швидкозшивачі</t>
  </si>
  <si>
    <t>Шило</t>
  </si>
  <si>
    <t>Комп'ютерне приладдя</t>
  </si>
  <si>
    <t>Блок безперебійного живлення</t>
  </si>
  <si>
    <t>Картридж DFX-9000</t>
  </si>
  <si>
    <t>Картридж EPSON LX-350</t>
  </si>
  <si>
    <t>Картридж FX-890</t>
  </si>
  <si>
    <t>USB-хаб</t>
  </si>
  <si>
    <t>Клавіатура</t>
  </si>
  <si>
    <t>Мережевий фільт 5 м</t>
  </si>
  <si>
    <t>Мишка</t>
  </si>
  <si>
    <t>Шнур USB</t>
  </si>
  <si>
    <t>Хозтовари та інвентар</t>
  </si>
  <si>
    <t>Вантуз</t>
  </si>
  <si>
    <t>Відро пласт.</t>
  </si>
  <si>
    <t>Віник</t>
  </si>
  <si>
    <t>Дверні замки</t>
  </si>
  <si>
    <t>Драбина на 4 сходини для архіву</t>
  </si>
  <si>
    <t>Драбина на 6 сходин для архіву</t>
  </si>
  <si>
    <t xml:space="preserve">Драбина на 8 сходин </t>
  </si>
  <si>
    <t>Серцевина для замка</t>
  </si>
  <si>
    <t>Лампа екон.</t>
  </si>
  <si>
    <t>Лампа люменес 18W</t>
  </si>
  <si>
    <t>Лампа настольна</t>
  </si>
  <si>
    <t>Лопата для уборки снігу</t>
  </si>
  <si>
    <t>Мило</t>
  </si>
  <si>
    <t>Миючий засіб для туал.</t>
  </si>
  <si>
    <t>Мітла з великою ручкою м'яка</t>
  </si>
  <si>
    <t>Мітла дворова</t>
  </si>
  <si>
    <t>Пральний порошок</t>
  </si>
  <si>
    <t>Секатор</t>
  </si>
  <si>
    <t>Совок з великою ручкою</t>
  </si>
  <si>
    <t>Стартери</t>
  </si>
  <si>
    <t>Фарба водоемульсійна</t>
  </si>
  <si>
    <t>банка</t>
  </si>
  <si>
    <t>Фарба біла 3 л</t>
  </si>
  <si>
    <t>Фарба зелена 2 л</t>
  </si>
  <si>
    <t>Фарба сіра 3 л</t>
  </si>
  <si>
    <t>Фарба коричнева 3 л</t>
  </si>
  <si>
    <t>Рукавички гумові</t>
  </si>
  <si>
    <t>пари</t>
  </si>
  <si>
    <t>Чистящий порошок</t>
  </si>
  <si>
    <t>Шланг полівочний</t>
  </si>
  <si>
    <t>м</t>
  </si>
  <si>
    <t>Щітка для фарбування</t>
  </si>
  <si>
    <t>Щітка для білування</t>
  </si>
  <si>
    <t>Меблі</t>
  </si>
  <si>
    <t>Пуфік на 3 особи</t>
  </si>
  <si>
    <t>Стіл письмовий</t>
  </si>
  <si>
    <t>Тумба 45*35*60</t>
  </si>
  <si>
    <t>Тумба закрита 75*43*60</t>
  </si>
  <si>
    <t>Шафа для одягу</t>
  </si>
  <si>
    <t>Шафа книжкова</t>
  </si>
  <si>
    <t>Шафа вбудована</t>
  </si>
  <si>
    <t>Шафа книжкова зі склом</t>
  </si>
  <si>
    <t>Шафа для особових справ</t>
  </si>
  <si>
    <t>Шафа кутова</t>
  </si>
  <si>
    <t>Шафа-пенал</t>
  </si>
  <si>
    <t>На утримання автотранспорту</t>
  </si>
  <si>
    <t>л</t>
  </si>
  <si>
    <t>Антифриз</t>
  </si>
  <si>
    <t xml:space="preserve">Олія моторна 10W40 </t>
  </si>
  <si>
    <t>Бензин А95</t>
  </si>
  <si>
    <t>Акумулятори</t>
  </si>
  <si>
    <t xml:space="preserve">Автошини </t>
  </si>
  <si>
    <t>Страхування :</t>
  </si>
  <si>
    <t>посл.</t>
  </si>
  <si>
    <t xml:space="preserve">Страхування майна </t>
  </si>
  <si>
    <t>Страхування транспортних засобів</t>
  </si>
  <si>
    <t>Ремонт та технічне обслуговування автомобілів</t>
  </si>
  <si>
    <t>Ремонт а/м</t>
  </si>
  <si>
    <t>посл</t>
  </si>
  <si>
    <t>Шиномонтаж</t>
  </si>
  <si>
    <t>Послуги охорони</t>
  </si>
  <si>
    <t>Управління поліції охорони</t>
  </si>
  <si>
    <t>Сова-1</t>
  </si>
  <si>
    <t>Айперон Плюс</t>
  </si>
  <si>
    <t>Протипожежна сигналізація</t>
  </si>
  <si>
    <t>Сова</t>
  </si>
  <si>
    <t>Гомелько</t>
  </si>
  <si>
    <t>Пожзабезпечення</t>
  </si>
  <si>
    <t>Послуги зв'язку</t>
  </si>
  <si>
    <t xml:space="preserve">ВАТ "Укртелеком"  </t>
  </si>
  <si>
    <t>Фарлеп</t>
  </si>
  <si>
    <t>Інтернет Киевстар</t>
  </si>
  <si>
    <t>Інтернет Дикий Сад</t>
  </si>
  <si>
    <t>Інтернет Фарлеп</t>
  </si>
  <si>
    <t xml:space="preserve">Інформаційні послуги </t>
  </si>
  <si>
    <t>Оновлення сайту</t>
  </si>
  <si>
    <t xml:space="preserve">Ліцензія ПЗ "Афіна" </t>
  </si>
  <si>
    <t xml:space="preserve">Ліцензійне супроводження програми "Афіна" </t>
  </si>
  <si>
    <t>Ліцензійне супроводження програми    "Бюджет міста"</t>
  </si>
  <si>
    <t>Послуги у сфері інформ. "М.Е.Дос" (ліц.)</t>
  </si>
  <si>
    <t>Послуги у сфері інформат. "М.Е.Дос"(супр.)</t>
  </si>
  <si>
    <t>Послуги електронного документообігу</t>
  </si>
  <si>
    <t>Інформаційні послуги "Вечірній Миколаїв"</t>
  </si>
  <si>
    <t>Інформаційні послуги ТРК "МАРТ"</t>
  </si>
  <si>
    <t>Послуги з ремонту і обслуговування техніки</t>
  </si>
  <si>
    <t>Заправка картриджів</t>
  </si>
  <si>
    <t>Перевірка вузлів обліку електроенергії та води</t>
  </si>
  <si>
    <t>Обслуговування газових котлів 3шт</t>
  </si>
  <si>
    <t>Перевірка димовентиляційних каналів</t>
  </si>
  <si>
    <t>Утилізація небезпечних відходів</t>
  </si>
  <si>
    <t>Гідравлічні випробування систем опалювання</t>
  </si>
  <si>
    <t>Експлуатаційні витрати</t>
  </si>
  <si>
    <t>Зоря</t>
  </si>
  <si>
    <t>Миколаївдомсервіс</t>
  </si>
  <si>
    <t xml:space="preserve">Центральний -1 </t>
  </si>
  <si>
    <t>ДЕЗ Корабел</t>
  </si>
  <si>
    <t>Заправка вогнегасників</t>
  </si>
  <si>
    <t>Доставка періодичних видань</t>
  </si>
  <si>
    <t xml:space="preserve">Поточний ремонт </t>
  </si>
  <si>
    <t>Поточ. ремонт приміщень в будівлі Зав.р-ну</t>
  </si>
  <si>
    <t>Поточ. ремонт приміщень в будівлі Кор.р-ну</t>
  </si>
  <si>
    <t>Поточ. ремонт приміщень в будівлі Інгул.р-ну</t>
  </si>
  <si>
    <t>Поточ. ремонт приміщень в будівлі за адресою пр.Богоявленський, 10-Б</t>
  </si>
  <si>
    <t>Встановлення та налаштування системи відеоспостереження в УСВіК в Центр. р-ні</t>
  </si>
  <si>
    <t>Встановлення та налаштування системи відеоспостереження в УСВіК в Зав. р-ні</t>
  </si>
  <si>
    <t>Встановлення та налаштування системи відеоспостереження в УСВіК в Інгул. р-ні</t>
  </si>
  <si>
    <t>Встановлення та налаштування системи відеоспостереження в УСВіК в Кор. р-ні</t>
  </si>
  <si>
    <t>Відправлення листів рекомендованих</t>
  </si>
  <si>
    <t>Видатки на відрядження</t>
  </si>
  <si>
    <t>Відшкодування проїзду у міському транспорті для працівників, які складають акти обстеження та проводять перевірки підприємств</t>
  </si>
  <si>
    <t>Оплата комунальних послуг та енергоносіїв</t>
  </si>
  <si>
    <t xml:space="preserve"> ОКП "Миколаївоблтеплоенерго"</t>
  </si>
  <si>
    <t>114 Гкал*1551,072 грн.</t>
  </si>
  <si>
    <t>Гкал</t>
  </si>
  <si>
    <t xml:space="preserve"> ВАТ Миколаївська ТЕЦ</t>
  </si>
  <si>
    <t>89 Гкал*1526,87</t>
  </si>
  <si>
    <t>МКП "Миколаївводоканал"</t>
  </si>
  <si>
    <t>водопостачання</t>
  </si>
  <si>
    <t>м3</t>
  </si>
  <si>
    <t>стоки</t>
  </si>
  <si>
    <t xml:space="preserve"> ВАТ ЕК "Миколаївобленерго"</t>
  </si>
  <si>
    <t>120 0000 Квт/г *3,55706</t>
  </si>
  <si>
    <t>кВт/ч</t>
  </si>
  <si>
    <t xml:space="preserve"> УЕГГМ ПАТ "Миколаївгазбут"</t>
  </si>
  <si>
    <t>4,3 тис.м.куб. *6594,4</t>
  </si>
  <si>
    <t>ПАТ ПО  ГАЗОПОСТАЧАННЮ ТА ГАЗИФІКАЦІЇ "МИКОЛАЇВГАЗ"</t>
  </si>
  <si>
    <t>4,0 тис.м.куб*876,60</t>
  </si>
  <si>
    <t>Оплата інших енергоносіїв (вивіз сміття)</t>
  </si>
  <si>
    <t xml:space="preserve">ТОВ "Валан" </t>
  </si>
  <si>
    <t>Окремі заходи по реалізації державних (регіональних) програм, не віднесені до заходів розвитку</t>
  </si>
  <si>
    <t>Навчання:</t>
  </si>
  <si>
    <t xml:space="preserve">  охорона праці : 7* 510 грн. (грудень)</t>
  </si>
  <si>
    <t>навч.</t>
  </si>
  <si>
    <t xml:space="preserve">  пожежна безпека : 24* 380</t>
  </si>
  <si>
    <t xml:space="preserve">  цивільний захист : 24 * 380</t>
  </si>
  <si>
    <t xml:space="preserve">  цивільний захист : 5 * 550</t>
  </si>
  <si>
    <t xml:space="preserve">  публічні закупівлі : 5 *2200</t>
  </si>
  <si>
    <t>Сплата екологічного податку</t>
  </si>
  <si>
    <t>Сплата профспілкового внеску 0,3% від ФОП на проведення культурно-масової та фізкультурної роботи відп. До ст. 44 З-ну України "Про професійні спілки, їх права та гарантії діяльності", ст. 250 КЗпП України, передбачених колективним договором.</t>
  </si>
  <si>
    <t>Поточні видатки - всього</t>
  </si>
  <si>
    <t xml:space="preserve">Директор департаменту </t>
  </si>
  <si>
    <t>Сергій ВАСИЛЕНКО</t>
  </si>
  <si>
    <t>Заступник директора-</t>
  </si>
  <si>
    <t>Ірина ЧОРНА</t>
  </si>
  <si>
    <t>начальник управління фінансів</t>
  </si>
  <si>
    <t>67-63-90 Наталія Федоровська</t>
  </si>
  <si>
    <t xml:space="preserve">    Оксана Захарова</t>
  </si>
  <si>
    <t>1) надходження для виконання бюджетної програми у 2018 - 2022 роках:</t>
  </si>
  <si>
    <t>2018 рік (звіт)</t>
  </si>
  <si>
    <t>2019 рік (затверджено)</t>
  </si>
  <si>
    <t>2020 рік (проект)</t>
  </si>
  <si>
    <t>2022 рік (прогноз)</t>
  </si>
  <si>
    <t>1) видатки за кодами Економічної класифікації видатків бюджету у 2018 - 2020 роках:</t>
  </si>
  <si>
    <t>2275</t>
  </si>
  <si>
    <t>Оплата інших енергоносіїв</t>
  </si>
  <si>
    <t>Розрахунок до бюджетного запиту на 2020-2022 роки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</si>
  <si>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</si>
  <si>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</si>
  <si>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КЕКВ</t>
  </si>
  <si>
    <t>Кількість всього</t>
  </si>
  <si>
    <t>Ціна, грн.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</si>
  <si>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</si>
  <si>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</si>
  <si>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</si>
  <si>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Комп'ютер в зборі монітор, сист.блок, клав., миша, принтер-сканер, УПС)</t>
  </si>
  <si>
    <t>Комп'ютер в зборі монітор, сист.блок, клав., миша)</t>
  </si>
  <si>
    <t>Кондиціонер</t>
  </si>
  <si>
    <t xml:space="preserve">Багатофункціональний пристрій </t>
  </si>
  <si>
    <t>Системний блок</t>
  </si>
  <si>
    <t>Матричний прінтер FX-890</t>
  </si>
  <si>
    <t>РАЗОМ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</si>
  <si>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</si>
  <si>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</si>
  <si>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журнал реєстрації</t>
  </si>
  <si>
    <t>договір  на придбання обладнання</t>
  </si>
  <si>
    <t>робочий проект</t>
  </si>
  <si>
    <t>Витрати на утримання однієї штатної одиниці</t>
  </si>
  <si>
    <t xml:space="preserve">Середня вартість капітального ремонту одного об'єкта </t>
  </si>
  <si>
    <t>Питома вага відремонтованих об'єктів у загальній кількості об'єктів, що потребують ремонту</t>
  </si>
  <si>
    <t>2) результативні показники бюджетної програми у 2021 - 2022 роках:</t>
  </si>
  <si>
    <t>2019 рік (план)</t>
  </si>
  <si>
    <t>1) місцеві/регіональні програми, які виконуються в межах бюджетної програми у 2018 - 2020 роках:</t>
  </si>
  <si>
    <t>Обов'язкові виплати</t>
  </si>
  <si>
    <t>з 01.01.20 р.              213 323,50*12 міс</t>
  </si>
  <si>
    <t>Печатка на автоматичному корпусі</t>
  </si>
  <si>
    <t>Сплата судового збору</t>
  </si>
  <si>
    <t>Витрати на відрядження: 4 осіб добові -  900,00 грн. проїзд -700,00 грн.</t>
  </si>
  <si>
    <t>Омивач скла</t>
  </si>
  <si>
    <t>17.07.2015 року N 648</t>
  </si>
  <si>
    <t>від 17.08.2019 року N 336)</t>
  </si>
  <si>
    <t>08</t>
  </si>
  <si>
    <t>03194499</t>
  </si>
  <si>
    <t>081</t>
  </si>
  <si>
    <t>Нарахування на допомогу по тимчасовій втраті працездатності ( 395 795 *22%)</t>
  </si>
  <si>
    <t>Принтер лазерний</t>
  </si>
  <si>
    <t>Принтер матричний</t>
  </si>
  <si>
    <t>Туба з тонером для БФП Ricoh</t>
  </si>
  <si>
    <t>Поточ. ремонт приміщень в будівлі архіву Центр.р-ну за адресою: м.Миколаїв, пр. Центральний, 71</t>
  </si>
  <si>
    <t xml:space="preserve">Поточ. ремонт приміщень в будівлі Центр.р-ну </t>
  </si>
  <si>
    <t>БЮДЖЕТНИЙ ЗАПИТ НА 2020 - 2022   РОКИ індивідуальний (Форма 2020-2)</t>
  </si>
  <si>
    <t>3.Проект  ЗУ "Про державний бюджет України на 2020 рік" зареєстрований 15.09.19 р., № 2000</t>
  </si>
  <si>
    <t>Комп'ютер в зборі монітор, сист.блок, клав., миша)-сервер</t>
  </si>
  <si>
    <t>ДО БЮДЖЕТНОГО ЗАПИТУ на плановий 2020-2022  рік</t>
  </si>
  <si>
    <t>по департаменту праці та соцального захисту населення Миколаївської міської ради за КПКВК 0810160</t>
  </si>
  <si>
    <t>Додаткова таблиця 1</t>
  </si>
  <si>
    <t>до пояснювальної записки</t>
  </si>
  <si>
    <t>Аналітичні дані про штатну чисельність працівників</t>
  </si>
  <si>
    <t xml:space="preserve">для  розрахунку видатків до проекту бюджету на  плановий 2020 рік   </t>
  </si>
  <si>
    <t>по департаменту праці та соціального захисту населення миколаївської міської ради</t>
  </si>
  <si>
    <t xml:space="preserve">      (назва головного розпорядника коштів)</t>
  </si>
  <si>
    <t>КПКВК</t>
  </si>
  <si>
    <t>Попередній (2018 рік) (звіт)</t>
  </si>
  <si>
    <t>Поточний (2019 рік) (затверджено)</t>
  </si>
  <si>
    <t>Плановий (2020 рік) (проект)</t>
  </si>
  <si>
    <t>Відхилення проекту року до середньорічної планової чисельності за попередній та поточний роки</t>
  </si>
  <si>
    <t>Обгрунтування відхилення</t>
  </si>
  <si>
    <t>на початок року</t>
  </si>
  <si>
    <t>на кінець року</t>
  </si>
  <si>
    <t>середньорічна</t>
  </si>
  <si>
    <t>в одиницях (+,-)</t>
  </si>
  <si>
    <t>по плану</t>
  </si>
  <si>
    <t xml:space="preserve">фактично зайняті </t>
  </si>
  <si>
    <t>фактично зайняті (очік.)</t>
  </si>
  <si>
    <t>до попереднього року</t>
  </si>
  <si>
    <t>до поточного року</t>
  </si>
  <si>
    <t>…</t>
  </si>
  <si>
    <t>Разом по КПКВК</t>
  </si>
  <si>
    <t>Всього</t>
  </si>
  <si>
    <t>Додаткова таблиця 5</t>
  </si>
  <si>
    <t>Розрахунок потреби видатків на комунальні послуги та енергоносії до проекту бюджету на плановий 20...рік</t>
  </si>
  <si>
    <t>Установа</t>
  </si>
  <si>
    <t>Поточний (20...рік)  (очікув. факт)</t>
  </si>
  <si>
    <t>Плановий (20…рік) (проект)</t>
  </si>
  <si>
    <t xml:space="preserve">Всього,  с.грн </t>
  </si>
  <si>
    <t>Всього,     грн.</t>
  </si>
  <si>
    <t>тис. Гкал.</t>
  </si>
  <si>
    <t>грн.</t>
  </si>
  <si>
    <t>тис.куб.м</t>
  </si>
  <si>
    <t>тис.кВт-год.</t>
  </si>
  <si>
    <t>т</t>
  </si>
  <si>
    <t>Вивіз сміття (грн.)</t>
  </si>
  <si>
    <t>Обгрунтований ліміт споживання, тис.Гкал.</t>
  </si>
  <si>
    <t>ліміт споживання (проект), тис.Гкал.</t>
  </si>
  <si>
    <t xml:space="preserve">Відхилення більше (менше) у фізичних обсягах ліміту споживання 20...р.(проект) до очикуваного споживання 20...р., тис.Гкал. </t>
  </si>
  <si>
    <t xml:space="preserve">Причини відхилення більше (менше) у фізичних обсягах </t>
  </si>
  <si>
    <t>Обгрунтований ліміт споживання, тис.куб.м</t>
  </si>
  <si>
    <t>ліміт споживання (проект), тис.куб.м</t>
  </si>
  <si>
    <t xml:space="preserve">Відхилення більше (менше) у фізичних обсягах ліміту споживання 20...р. (проект) до очикуваного споживання 20...р., тис.куб.м </t>
  </si>
  <si>
    <t>Обгрунтований ліміт споживання, тис.кВт-год.</t>
  </si>
  <si>
    <t>ліміт споживання (проект), тис.кВт-год.</t>
  </si>
  <si>
    <t xml:space="preserve">Відхилення більше (менше) у фізичних обсягах ліміту споживання 20...р. (проект) до очикуваного споживання 20...р., тис.кВт-год. </t>
  </si>
  <si>
    <t>залишок на 01.01.12 (тон.)</t>
  </si>
  <si>
    <t>Обгрунтований ліміт споживання, т</t>
  </si>
  <si>
    <t>ліміт споживання (проект), т</t>
  </si>
  <si>
    <t>Відхилення більше (менше) у фізичних обсягах ліміту споживання 20...р. (проект) до очикуваного споживання 20...р., т</t>
  </si>
  <si>
    <t>Відхилення більше (менше)  обсягів споживання 20...р. (проект) до очикуваного споживання 20...р., грн.</t>
  </si>
  <si>
    <t>Причини відхилення більше (менше)</t>
  </si>
  <si>
    <t>Всього по КПКВК</t>
  </si>
  <si>
    <t>Додаткова таблиця  9</t>
  </si>
  <si>
    <t>Пропозиції щодо капітальних видатків бюджету розвитку</t>
  </si>
  <si>
    <t>( грн. )</t>
  </si>
  <si>
    <t>Найменування установи</t>
  </si>
  <si>
    <t>Придбання обладнання і предмети довгострокового користування</t>
  </si>
  <si>
    <t>Назва обладнання і предметів довгострокового користування</t>
  </si>
  <si>
    <t xml:space="preserve">Розподілено в межах доведеного граничного обсягу (по загальному фонду - для передачі до бюджету розвитку спеціального фонду) </t>
  </si>
  <si>
    <t>Необхідно додатково по спеціальному фонду</t>
  </si>
  <si>
    <t>Очікуваний результат</t>
  </si>
  <si>
    <t>кількість одиниць</t>
  </si>
  <si>
    <t>вартість одиниці, грн.</t>
  </si>
  <si>
    <t>всього, тис.грн.</t>
  </si>
  <si>
    <t>кіль-    кість одиниць</t>
  </si>
  <si>
    <t>Установи:</t>
  </si>
  <si>
    <t>….</t>
  </si>
  <si>
    <t>Всього:</t>
  </si>
  <si>
    <t>Капітальний ремонт</t>
  </si>
  <si>
    <t>Об"єкт капітального ремонту</t>
  </si>
  <si>
    <t>кількість одиниць, кв.м</t>
  </si>
  <si>
    <t>кіль-    кість одиниць, кв.м</t>
  </si>
  <si>
    <t>Придбання землі та нематеріальних активів</t>
  </si>
  <si>
    <t>Придбання програмного забезпечення для встановлення електронного архіву в УСВіК Центрального району м.миколаєва</t>
  </si>
  <si>
    <t>Міська цільова програма розвитку інформаційно-комунікативної сфери м.Миколава на 2020-2023 роки</t>
  </si>
  <si>
    <t>12. Об'єкти, які виконуються в межах бюджетної програми за рахунок коштів бюджету розвитку у 2018 - 2022 роках:</t>
  </si>
  <si>
    <t>14. Бюджетні зобов'язання у 2018 - 2022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</si>
  <si>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</si>
  <si>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</si>
  <si>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розрахунок  до бюджетного запиту на 2020 рік</t>
  </si>
  <si>
    <t>Придбання програмного забезпечення для встановлення електронного архіву в УСВіК Центрального району м.Миколаєва</t>
  </si>
  <si>
    <t>3160</t>
  </si>
  <si>
    <t>3</t>
  </si>
  <si>
    <t>4</t>
  </si>
  <si>
    <t>2) надання кредитів за кодами Класифікації кредитування бюджету у 2018 - 2020 роках:</t>
  </si>
  <si>
    <t>2) місцеві/регіональні програми, які виконуються в межах бюджетної програми у 2021 - 2022 роках:</t>
  </si>
  <si>
    <t>4) аналіз управління бюджетними зобов'язаннями та пропозиції щодо упорядкування бюджетних зобов'язань у 2018 році.</t>
  </si>
  <si>
    <t>Аналіз управління бюджетними зобов'язаннями та пропозицій щодо упорядкування бюджетних зобов'язань у 2018 році:  обсяги фінансування дали можливість в повному обсязі провести розрахунки за придбані товари, за комунальні послуги та енергоносії, інші послуги. Установа в повному обсязі розрахувалася з працівниками по заробітній платі. В результаті цого на кінець 2018 року кредиторська заборгованість відсутня.</t>
  </si>
  <si>
    <t>3) дебіторська заборгованість у 2018 - 2020 роках:</t>
  </si>
  <si>
    <t>Дебіторська заборгованість на 01.01.2019</t>
  </si>
  <si>
    <t>Очікувана дебіторська заборгованість на 01.01.2020</t>
  </si>
  <si>
    <t>1. Бюджетний запит на 2020 - 2022  роки  індивідуальний (Форма 2020-2)</t>
  </si>
  <si>
    <t>1.</t>
  </si>
  <si>
    <t>(найменування головного розпорядника коштів місцевого бюджету)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</si>
  <si>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</si>
  <si>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</si>
  <si>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</si>
  <si>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20__ рік
(звіт)</t>
  </si>
  <si>
    <t>20__ рік
(затверджено)</t>
  </si>
  <si>
    <t>20__ рік
(проект)</t>
  </si>
  <si>
    <t>20__ рік
(прогноз)</t>
  </si>
  <si>
    <t>Ціль державної політики 1</t>
  </si>
  <si>
    <t>Ціль державної політики 2</t>
  </si>
  <si>
    <t>4. Розподіл граничних показників видатків бюджету та надання кредитів з бюджету загального фонду місцевого бюджету на 20__ - 20__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</si>
  <si>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</si>
  <si>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</si>
  <si>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</si>
  <si>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</si>
  <si>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</si>
  <si>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5. Розподіл граничних показників видатків бюджету та надання кредитів з бюджету спеціального фонду місцевого бюджету на 20__ - 20__ роки за бюджетними програмами:</t>
  </si>
  <si>
    <t>БЮДЖЕТНИЙ ЗАПИТ НА 2020 - 2021 РОКИ загальний (Форма 2020-1)</t>
  </si>
  <si>
    <t>Керівництво і управління у сфері праці та соціального захисту населення</t>
  </si>
  <si>
    <t>Забезпечення діяльності виконавчих органів місцевого самоврядування по виконанню власних та делегованих повноважень</t>
  </si>
  <si>
    <t>від 07.08.2019 року N 336)</t>
  </si>
  <si>
    <t>Поточ.рем. приміщення за адресою: вул. М.Морська, 19</t>
  </si>
  <si>
    <t>Міська цільова програма розвитку інформаційно-комунікативної сфери м.Миколава на 2020-2023 р.р.</t>
  </si>
  <si>
    <t xml:space="preserve">         ПОЯСНЮВАЛЬНА ЗАПИСКА</t>
  </si>
  <si>
    <t>Керівництво і управління ц відповідній сфері у містах (місті Києві), селищах, селах, об'єнаних територіальних громадах</t>
  </si>
  <si>
    <t>2.Бюджетний запит на 2020 - 2022 роки додатковий (Форма 2020-3)</t>
  </si>
  <si>
    <t>3. Розрахунок до бюджетного запиту на 2020-2022 роки  (поточні видатки)</t>
  </si>
  <si>
    <t>3. Розрахунок до бюджетного запиту на 2020-2022 роки  капітальні видатки)</t>
  </si>
  <si>
    <t>__________________________________</t>
  </si>
  <si>
    <t>Начальник планового відділу</t>
  </si>
  <si>
    <t>по департаменту праці та соціального захситу населення миколаївської міської ради</t>
  </si>
  <si>
    <t xml:space="preserve"> на плановий 2020 рік і показники, що їх характеризують</t>
  </si>
  <si>
    <t xml:space="preserve">4. Аналітичні дані про штатну чисельність працівників для розрахунку виатків до проекту бюджету на плановий 2020 рік </t>
  </si>
  <si>
    <t>5. Розрахунок потреби видатків на комунальні послуги та енергоносії до проекту бюджету на плановий 2020 рік</t>
  </si>
  <si>
    <t>ДПСЗН ММР</t>
  </si>
  <si>
    <t>Комп'ютерна техніка</t>
  </si>
  <si>
    <t>Кондиціонери</t>
  </si>
  <si>
    <t>розрахунок  до бюджетного запиту на 2021 рік</t>
  </si>
  <si>
    <t>розрахунок  до бюджетного запиту на 2022 рік</t>
  </si>
  <si>
    <t>ПЗ для встановлення електронного архіву</t>
  </si>
  <si>
    <t>Додаткові кошти на придбання кондиціонерів, комп'ютерної техніки у зв'взку з моральним та фізичним зносом комп'ютерів.</t>
  </si>
  <si>
    <t>Додаткові кошти для необхідні для придбання програмного забезпечення для встановлення електронного архіву в УСВіК Заводського, Інгульського та Корабельного районів м.Миколаєва</t>
  </si>
  <si>
    <t>6. Пропозиції щодо капітальних видатків бюджету розвитку на плановий 2020 рік і показники, що їх характеризують</t>
  </si>
  <si>
    <t>_________________________</t>
  </si>
  <si>
    <t xml:space="preserve">6. Програма розвитку місцевого самоврядування у місті Миколаєві на 2016-2020 роки. </t>
  </si>
  <si>
    <t xml:space="preserve">Проведення капітального ремонту </t>
  </si>
  <si>
    <t>Програма розвитку місцевого самоврядування у місті Миколаєві на 2016-2020 роки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</si>
  <si>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</si>
  <si>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Обсяг видатків на придбання та встановлення програмного забезпечення</t>
  </si>
  <si>
    <t xml:space="preserve">Кількість одиниць програмного забезпечення, яке планується встановити </t>
  </si>
  <si>
    <t>Середня витрати на придбання і встановлення одиниці програмного забезпечення</t>
  </si>
  <si>
    <t>Питома вага встановленого програмного забезпечення у загальній кількості об'єктів, що потребують встановлення такого програмного забезпечення</t>
  </si>
  <si>
    <t xml:space="preserve">Придбання програмного забезпечення для встановлення електронного архіву </t>
  </si>
  <si>
    <t>Департамент праці та соціального захисту населення Миколаївської міської ради  надає Бюджетний запит на плановий 2020 та прогноз на 2021 -2022 роки відповідно до доведених граничних обсягів видатків та фінансування на 2020 рік та індикативні прогнозні показники видатків та фінансування на 2021-2022 роки.</t>
  </si>
  <si>
    <t xml:space="preserve">     Бюджетний запит складено з урахуванням закону України "Про державний бюджет на 2020 рік", закону України "Про внесення змін до Бюджетного кодексу України", постанови КМУ від 23.10.2019 р. № 883 "Про внесення змін до постанови КМУ від 15.05.2019 р. № 555 "Про схвалення прогнозу економічного і соціального розвитку України на 2020-2022 роки". Також в бюджетному запиті враховано вимоги діючих нормативно-правових актів, рішень Миколаївської міської ради та її виконавчого комітету; індексу споживчих цін , розмір посадового окладу працівника І тарифного розряду Єдиної тарифної сітки, коефіцієнти підвищення видатків на оплату комунальних послуг та енергоносіїв та ін. Розрахунок комунальних послуг та енергоносіїв в натуральних показниках обраховано з урахуванням заходів, спрямованих на максимальну екномію споживання енергоносіїв.</t>
  </si>
  <si>
    <t>14201100000</t>
  </si>
  <si>
    <t>5. Рішення Миколаївської міської ради "Про міський бюджет м.Миколаєва на 2019 рік", затверджене рішенням Миколаївської міської ради від 21.12.2018 р. № 49/31 зі змінами.</t>
  </si>
  <si>
    <t xml:space="preserve">кошторис </t>
  </si>
  <si>
    <t>Кількість об'єктів, що планується відремонтувати</t>
  </si>
  <si>
    <t>Економія коштів за рік, що виникла за результатами впровадження в експлуатацію придбаного обладнання</t>
  </si>
  <si>
    <t>Питома вага встановленого програмного забезпечення від загальної кількості об'єктів, що потребують встановлення такого програмного забезпечення</t>
  </si>
  <si>
    <t xml:space="preserve">Розглянувши показники, які характеризують виконання бюджетної програми можна провести аналіз використання коштів загального фонду бюджету у 2018 році та очікувані результати у 2019 році, а також обгрунтувати розподіл граничних обсягів видатків на 2020 рік та прогнозний обсяг видатків на 2021-2022 роки, у департаменті праці та соціального захисту населення на 2020 рік планується 200 штатних  одиниць.
Кількість виконаних листів, звернень, заяв, скарг на одного працівника у 2018 році складає 335 од., в  2019 році- 328. У 2020 році цей показник планується на рівні 328 од.на одного працівника.
Кількість підготовлених нормативно-правових актів складає: 2018 р. – 115 од., що складає 0,575 од. на одного працівника. Кількість нормативно-правових актів у  2019 році - 70 од., що складає 0,35 од. на одного працівника. У 2020 році планується  кількость підготовлених нормативних актів  170 од., що в середньому становить 0,85 од.на 1 працівника.
Витрати на утримання однієї штатної одиниці у 2018 році складали 177 434 грн., у 2019 році планується 242 863 грн.; у 2021 році прогнозуються такі видатки у сумі 298 029 грн., 2022 рік - 309 360 грн. Видатки збільшуються внаслідок підвищення цін на енергоносії та підвищення мінімальної заробітної плати.  
Видатки на оплату праці у 2018 році складали 26 276 899 грн, у 2019 –37 500 800 грн, у 2020 році плануються 44 870 400 грн. Видатки на 2020-2022 р.р. передбачені для створення умов праці з метою виконання поноважень, покладених на департамент.
</t>
  </si>
  <si>
    <t xml:space="preserve">У 2020 році планується використати  517200 грн. по КЕКВ 3110 для придбання кондиціонерів, комп'ютерної техніки та програмного забезпечення для якісного виконання повноважнь, покладених на департамент.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</si>
</sst>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"/>
    <numFmt numFmtId="175" formatCode="#,##0.000"/>
    <numFmt numFmtId="176" formatCode="0.00000"/>
    <numFmt numFmtId="177" formatCode="#,##0.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75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55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66" fillId="0" borderId="0" xfId="0" applyFont="1" applyAlignment="1">
      <alignment/>
    </xf>
    <xf numFmtId="0" fontId="67" fillId="0" borderId="0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65" fillId="0" borderId="0" xfId="0" applyFont="1" applyBorder="1" applyAlignment="1">
      <alignment wrapText="1"/>
    </xf>
    <xf numFmtId="0" fontId="67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2" fontId="4" fillId="0" borderId="17" xfId="0" applyNumberFormat="1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5" xfId="0" applyFont="1" applyFill="1" applyBorder="1" applyAlignment="1">
      <alignment wrapText="1"/>
    </xf>
    <xf numFmtId="0" fontId="4" fillId="6" borderId="0" xfId="0" applyFont="1" applyFill="1" applyBorder="1" applyAlignment="1">
      <alignment wrapText="1"/>
    </xf>
    <xf numFmtId="2" fontId="4" fillId="6" borderId="15" xfId="0" applyNumberFormat="1" applyFont="1" applyFill="1" applyBorder="1" applyAlignment="1">
      <alignment horizontal="right"/>
    </xf>
    <xf numFmtId="1" fontId="4" fillId="6" borderId="15" xfId="0" applyNumberFormat="1" applyFont="1" applyFill="1" applyBorder="1" applyAlignment="1">
      <alignment horizontal="right"/>
    </xf>
    <xf numFmtId="4" fontId="4" fillId="6" borderId="15" xfId="0" applyNumberFormat="1" applyFont="1" applyFill="1" applyBorder="1" applyAlignment="1">
      <alignment horizontal="center"/>
    </xf>
    <xf numFmtId="3" fontId="4" fillId="6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wrapText="1"/>
    </xf>
    <xf numFmtId="4" fontId="4" fillId="34" borderId="10" xfId="0" applyNumberFormat="1" applyFont="1" applyFill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justify" wrapText="1"/>
    </xf>
    <xf numFmtId="2" fontId="4" fillId="6" borderId="10" xfId="0" applyNumberFormat="1" applyFont="1" applyFill="1" applyBorder="1" applyAlignment="1">
      <alignment horizontal="right" wrapText="1"/>
    </xf>
    <xf numFmtId="1" fontId="4" fillId="6" borderId="10" xfId="0" applyNumberFormat="1" applyFont="1" applyFill="1" applyBorder="1" applyAlignment="1">
      <alignment horizontal="right" wrapText="1"/>
    </xf>
    <xf numFmtId="4" fontId="4" fillId="6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right" wrapText="1"/>
    </xf>
    <xf numFmtId="4" fontId="4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horizontal="right" wrapText="1"/>
    </xf>
    <xf numFmtId="0" fontId="4" fillId="6" borderId="10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justify" wrapText="1"/>
    </xf>
    <xf numFmtId="0" fontId="4" fillId="36" borderId="1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0" borderId="10" xfId="52" applyFont="1" applyFill="1" applyBorder="1" applyAlignment="1">
      <alignment horizontal="left"/>
      <protection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52" applyFont="1" applyFill="1" applyBorder="1" applyAlignment="1">
      <alignment horizontal="left" wrapText="1"/>
      <protection/>
    </xf>
    <xf numFmtId="2" fontId="2" fillId="37" borderId="10" xfId="0" applyNumberFormat="1" applyFont="1" applyFill="1" applyBorder="1" applyAlignment="1">
      <alignment horizontal="center" wrapText="1"/>
    </xf>
    <xf numFmtId="2" fontId="4" fillId="37" borderId="10" xfId="0" applyNumberFormat="1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 horizontal="center"/>
    </xf>
    <xf numFmtId="3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 horizontal="center"/>
    </xf>
    <xf numFmtId="0" fontId="4" fillId="0" borderId="10" xfId="52" applyFont="1" applyFill="1" applyBorder="1" applyAlignment="1">
      <alignment/>
      <protection/>
    </xf>
    <xf numFmtId="0" fontId="4" fillId="36" borderId="15" xfId="0" applyFont="1" applyFill="1" applyBorder="1" applyAlignment="1">
      <alignment/>
    </xf>
    <xf numFmtId="1" fontId="4" fillId="36" borderId="10" xfId="0" applyNumberFormat="1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4" fontId="4" fillId="36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justify" wrapText="1"/>
    </xf>
    <xf numFmtId="0" fontId="4" fillId="37" borderId="10" xfId="0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2" fontId="2" fillId="38" borderId="10" xfId="0" applyNumberFormat="1" applyFont="1" applyFill="1" applyBorder="1" applyAlignment="1">
      <alignment horizontal="center" wrapText="1"/>
    </xf>
    <xf numFmtId="1" fontId="4" fillId="38" borderId="10" xfId="0" applyNumberFormat="1" applyFont="1" applyFill="1" applyBorder="1" applyAlignment="1">
      <alignment horizontal="right"/>
    </xf>
    <xf numFmtId="4" fontId="2" fillId="38" borderId="10" xfId="0" applyNumberFormat="1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left" wrapText="1"/>
    </xf>
    <xf numFmtId="4" fontId="2" fillId="37" borderId="10" xfId="0" applyNumberFormat="1" applyFont="1" applyFill="1" applyBorder="1" applyAlignment="1">
      <alignment horizontal="center" wrapText="1"/>
    </xf>
    <xf numFmtId="1" fontId="4" fillId="37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left" wrapText="1"/>
    </xf>
    <xf numFmtId="0" fontId="7" fillId="37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justify"/>
    </xf>
    <xf numFmtId="0" fontId="4" fillId="34" borderId="10" xfId="0" applyNumberFormat="1" applyFont="1" applyFill="1" applyBorder="1" applyAlignment="1">
      <alignment/>
    </xf>
    <xf numFmtId="4" fontId="4" fillId="37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left" wrapText="1"/>
    </xf>
    <xf numFmtId="0" fontId="4" fillId="37" borderId="10" xfId="0" applyFont="1" applyFill="1" applyBorder="1" applyAlignment="1">
      <alignment horizontal="justify"/>
    </xf>
    <xf numFmtId="0" fontId="4" fillId="37" borderId="10" xfId="0" applyNumberFormat="1" applyFont="1" applyFill="1" applyBorder="1" applyAlignment="1">
      <alignment/>
    </xf>
    <xf numFmtId="2" fontId="4" fillId="38" borderId="10" xfId="0" applyNumberFormat="1" applyFont="1" applyFill="1" applyBorder="1" applyAlignment="1">
      <alignment horizontal="center"/>
    </xf>
    <xf numFmtId="4" fontId="4" fillId="38" borderId="10" xfId="0" applyNumberFormat="1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center"/>
    </xf>
    <xf numFmtId="3" fontId="4" fillId="35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 wrapText="1"/>
    </xf>
    <xf numFmtId="1" fontId="4" fillId="38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 horizontal="center"/>
    </xf>
    <xf numFmtId="175" fontId="4" fillId="2" borderId="10" xfId="0" applyNumberFormat="1" applyFont="1" applyFill="1" applyBorder="1" applyAlignment="1">
      <alignment horizontal="center"/>
    </xf>
    <xf numFmtId="172" fontId="4" fillId="2" borderId="10" xfId="0" applyNumberFormat="1" applyFont="1" applyFill="1" applyBorder="1" applyAlignment="1">
      <alignment horizontal="center"/>
    </xf>
    <xf numFmtId="176" fontId="4" fillId="35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wrapText="1"/>
    </xf>
    <xf numFmtId="2" fontId="4" fillId="2" borderId="10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wrapText="1"/>
    </xf>
    <xf numFmtId="0" fontId="4" fillId="38" borderId="10" xfId="0" applyFont="1" applyFill="1" applyBorder="1" applyAlignment="1">
      <alignment horizontal="justify"/>
    </xf>
    <xf numFmtId="0" fontId="4" fillId="38" borderId="10" xfId="0" applyFont="1" applyFill="1" applyBorder="1" applyAlignment="1">
      <alignment/>
    </xf>
    <xf numFmtId="2" fontId="4" fillId="38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justify" wrapText="1"/>
    </xf>
    <xf numFmtId="0" fontId="4" fillId="39" borderId="18" xfId="0" applyFont="1" applyFill="1" applyBorder="1" applyAlignment="1">
      <alignment horizontal="center" wrapText="1"/>
    </xf>
    <xf numFmtId="0" fontId="4" fillId="39" borderId="18" xfId="0" applyFont="1" applyFill="1" applyBorder="1" applyAlignment="1">
      <alignment wrapText="1"/>
    </xf>
    <xf numFmtId="2" fontId="4" fillId="39" borderId="10" xfId="0" applyNumberFormat="1" applyFont="1" applyFill="1" applyBorder="1" applyAlignment="1">
      <alignment horizontal="right"/>
    </xf>
    <xf numFmtId="1" fontId="4" fillId="39" borderId="10" xfId="0" applyNumberFormat="1" applyFont="1" applyFill="1" applyBorder="1" applyAlignment="1">
      <alignment horizontal="right"/>
    </xf>
    <xf numFmtId="4" fontId="4" fillId="39" borderId="10" xfId="0" applyNumberFormat="1" applyFont="1" applyFill="1" applyBorder="1" applyAlignment="1">
      <alignment horizontal="center"/>
    </xf>
    <xf numFmtId="3" fontId="4" fillId="39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/>
    </xf>
    <xf numFmtId="2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4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4" fontId="9" fillId="0" borderId="0" xfId="0" applyNumberFormat="1" applyFont="1" applyFill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4" fillId="6" borderId="21" xfId="0" applyNumberFormat="1" applyFont="1" applyFill="1" applyBorder="1" applyAlignment="1">
      <alignment/>
    </xf>
    <xf numFmtId="3" fontId="4" fillId="6" borderId="2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4" fontId="4" fillId="6" borderId="12" xfId="0" applyNumberFormat="1" applyFont="1" applyFill="1" applyBorder="1" applyAlignment="1">
      <alignment/>
    </xf>
    <xf numFmtId="4" fontId="4" fillId="6" borderId="14" xfId="0" applyNumberFormat="1" applyFont="1" applyFill="1" applyBorder="1" applyAlignment="1">
      <alignment/>
    </xf>
    <xf numFmtId="1" fontId="4" fillId="34" borderId="12" xfId="0" applyNumberFormat="1" applyFont="1" applyFill="1" applyBorder="1" applyAlignment="1">
      <alignment/>
    </xf>
    <xf numFmtId="1" fontId="4" fillId="34" borderId="14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10" fillId="0" borderId="21" xfId="0" applyFont="1" applyFill="1" applyBorder="1" applyAlignment="1">
      <alignment horizontal="justify"/>
    </xf>
    <xf numFmtId="4" fontId="10" fillId="0" borderId="25" xfId="0" applyNumberFormat="1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34" borderId="27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/>
      <protection/>
    </xf>
    <xf numFmtId="1" fontId="4" fillId="0" borderId="10" xfId="0" applyNumberFormat="1" applyFont="1" applyFill="1" applyBorder="1" applyAlignment="1">
      <alignment horizontal="center"/>
    </xf>
    <xf numFmtId="4" fontId="4" fillId="34" borderId="28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 wrapText="1"/>
    </xf>
    <xf numFmtId="4" fontId="10" fillId="0" borderId="0" xfId="0" applyNumberFormat="1" applyFont="1" applyFill="1" applyBorder="1" applyAlignment="1">
      <alignment horizontal="justify" vertical="center"/>
    </xf>
    <xf numFmtId="4" fontId="11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" fontId="4" fillId="5" borderId="10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right" vertical="center"/>
    </xf>
    <xf numFmtId="2" fontId="2" fillId="36" borderId="10" xfId="0" applyNumberFormat="1" applyFont="1" applyFill="1" applyBorder="1" applyAlignment="1">
      <alignment horizontal="center" wrapText="1"/>
    </xf>
    <xf numFmtId="49" fontId="65" fillId="0" borderId="11" xfId="0" applyNumberFormat="1" applyFont="1" applyBorder="1" applyAlignment="1">
      <alignment horizontal="center" wrapText="1"/>
    </xf>
    <xf numFmtId="0" fontId="4" fillId="0" borderId="12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left"/>
      <protection/>
    </xf>
    <xf numFmtId="0" fontId="4" fillId="0" borderId="0" xfId="53" applyFon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3" fillId="0" borderId="0" xfId="53" applyFont="1" applyFill="1" applyBorder="1" applyAlignment="1">
      <alignment vertical="top" wrapText="1"/>
      <protection/>
    </xf>
    <xf numFmtId="0" fontId="13" fillId="0" borderId="0" xfId="53" applyFont="1" applyFill="1" applyAlignment="1">
      <alignment horizontal="center" vertical="top" wrapText="1"/>
      <protection/>
    </xf>
    <xf numFmtId="0" fontId="12" fillId="0" borderId="0" xfId="53" applyFill="1">
      <alignment/>
      <protection/>
    </xf>
    <xf numFmtId="0" fontId="12" fillId="0" borderId="0" xfId="53">
      <alignment/>
      <protection/>
    </xf>
    <xf numFmtId="0" fontId="12" fillId="0" borderId="30" xfId="53" applyFill="1" applyBorder="1" applyAlignment="1">
      <alignment horizontal="center" vertical="center" wrapText="1"/>
      <protection/>
    </xf>
    <xf numFmtId="0" fontId="12" fillId="0" borderId="31" xfId="53" applyFill="1" applyBorder="1" applyAlignment="1">
      <alignment horizontal="center" vertical="center" wrapText="1"/>
      <protection/>
    </xf>
    <xf numFmtId="0" fontId="12" fillId="0" borderId="32" xfId="53" applyFill="1" applyBorder="1" applyAlignment="1">
      <alignment horizontal="center" vertical="center" wrapText="1"/>
      <protection/>
    </xf>
    <xf numFmtId="0" fontId="12" fillId="0" borderId="33" xfId="53" applyFill="1" applyBorder="1" applyAlignment="1">
      <alignment horizontal="center" vertical="center" wrapText="1"/>
      <protection/>
    </xf>
    <xf numFmtId="0" fontId="12" fillId="0" borderId="34" xfId="53" applyFill="1" applyBorder="1" applyAlignment="1">
      <alignment horizontal="center" vertical="center" wrapText="1"/>
      <protection/>
    </xf>
    <xf numFmtId="0" fontId="18" fillId="0" borderId="0" xfId="53" applyFont="1">
      <alignment/>
      <protection/>
    </xf>
    <xf numFmtId="0" fontId="18" fillId="40" borderId="0" xfId="53" applyFont="1" applyFill="1">
      <alignment/>
      <protection/>
    </xf>
    <xf numFmtId="0" fontId="4" fillId="0" borderId="0" xfId="53" applyFont="1" applyFill="1">
      <alignment/>
      <protection/>
    </xf>
    <xf numFmtId="0" fontId="4" fillId="40" borderId="0" xfId="53" applyFont="1" applyFill="1">
      <alignment/>
      <protection/>
    </xf>
    <xf numFmtId="0" fontId="19" fillId="0" borderId="0" xfId="53" applyFont="1" applyAlignment="1">
      <alignment/>
      <protection/>
    </xf>
    <xf numFmtId="0" fontId="19" fillId="40" borderId="0" xfId="53" applyFont="1" applyFill="1" applyAlignment="1">
      <alignment/>
      <protection/>
    </xf>
    <xf numFmtId="0" fontId="9" fillId="0" borderId="0" xfId="53" applyFont="1" applyAlignment="1">
      <alignment/>
      <protection/>
    </xf>
    <xf numFmtId="0" fontId="18" fillId="0" borderId="33" xfId="53" applyFont="1" applyBorder="1" applyAlignment="1">
      <alignment horizontal="center" vertical="center" textRotation="90" wrapText="1"/>
      <protection/>
    </xf>
    <xf numFmtId="0" fontId="18" fillId="0" borderId="35" xfId="53" applyFont="1" applyBorder="1" applyAlignment="1">
      <alignment horizontal="center" vertical="center" textRotation="90" wrapText="1"/>
      <protection/>
    </xf>
    <xf numFmtId="0" fontId="18" fillId="0" borderId="36" xfId="53" applyFont="1" applyBorder="1" applyAlignment="1">
      <alignment horizontal="center" vertical="center" textRotation="90" wrapText="1"/>
      <protection/>
    </xf>
    <xf numFmtId="0" fontId="18" fillId="40" borderId="35" xfId="53" applyFont="1" applyFill="1" applyBorder="1" applyAlignment="1">
      <alignment horizontal="center" vertical="center" textRotation="90" wrapText="1"/>
      <protection/>
    </xf>
    <xf numFmtId="0" fontId="18" fillId="40" borderId="36" xfId="53" applyFont="1" applyFill="1" applyBorder="1" applyAlignment="1">
      <alignment horizontal="center" vertical="center" textRotation="90" wrapText="1"/>
      <protection/>
    </xf>
    <xf numFmtId="0" fontId="18" fillId="0" borderId="37" xfId="53" applyFont="1" applyBorder="1" applyAlignment="1">
      <alignment horizontal="center" vertical="center"/>
      <protection/>
    </xf>
    <xf numFmtId="0" fontId="18" fillId="0" borderId="19" xfId="53" applyFont="1" applyBorder="1" applyAlignment="1">
      <alignment horizontal="center" vertical="center"/>
      <protection/>
    </xf>
    <xf numFmtId="0" fontId="18" fillId="0" borderId="16" xfId="53" applyFont="1" applyBorder="1" applyAlignment="1">
      <alignment horizontal="center" vertical="center"/>
      <protection/>
    </xf>
    <xf numFmtId="0" fontId="18" fillId="0" borderId="29" xfId="53" applyFont="1" applyBorder="1" applyAlignment="1">
      <alignment horizontal="center" vertical="center"/>
      <protection/>
    </xf>
    <xf numFmtId="0" fontId="18" fillId="0" borderId="20" xfId="53" applyFont="1" applyBorder="1" applyAlignment="1">
      <alignment horizontal="center" vertical="center"/>
      <protection/>
    </xf>
    <xf numFmtId="0" fontId="18" fillId="0" borderId="17" xfId="53" applyFont="1" applyBorder="1" applyAlignment="1">
      <alignment horizontal="center" vertical="center"/>
      <protection/>
    </xf>
    <xf numFmtId="0" fontId="18" fillId="40" borderId="37" xfId="53" applyFont="1" applyFill="1" applyBorder="1" applyAlignment="1">
      <alignment horizontal="center" vertical="center"/>
      <protection/>
    </xf>
    <xf numFmtId="0" fontId="18" fillId="40" borderId="29" xfId="53" applyFont="1" applyFill="1" applyBorder="1" applyAlignment="1">
      <alignment horizontal="center" vertical="center"/>
      <protection/>
    </xf>
    <xf numFmtId="0" fontId="18" fillId="0" borderId="17" xfId="53" applyFont="1" applyBorder="1" applyAlignment="1">
      <alignment horizontal="center" vertical="center" wrapText="1"/>
      <protection/>
    </xf>
    <xf numFmtId="0" fontId="18" fillId="0" borderId="30" xfId="53" applyFont="1" applyBorder="1" applyAlignment="1">
      <alignment horizontal="center" vertical="center" wrapText="1"/>
      <protection/>
    </xf>
    <xf numFmtId="0" fontId="18" fillId="0" borderId="31" xfId="53" applyFont="1" applyBorder="1" applyAlignment="1">
      <alignment horizontal="center" vertical="center"/>
      <protection/>
    </xf>
    <xf numFmtId="0" fontId="18" fillId="0" borderId="32" xfId="53" applyFont="1" applyBorder="1" applyAlignment="1">
      <alignment horizontal="center" vertical="center"/>
      <protection/>
    </xf>
    <xf numFmtId="0" fontId="18" fillId="0" borderId="32" xfId="53" applyFont="1" applyBorder="1" applyAlignment="1">
      <alignment horizontal="center" vertical="center" wrapText="1"/>
      <protection/>
    </xf>
    <xf numFmtId="0" fontId="18" fillId="0" borderId="38" xfId="53" applyFont="1" applyBorder="1" applyAlignment="1">
      <alignment horizontal="center" vertical="center"/>
      <protection/>
    </xf>
    <xf numFmtId="0" fontId="18" fillId="40" borderId="32" xfId="53" applyFont="1" applyFill="1" applyBorder="1" applyAlignment="1">
      <alignment horizontal="center" vertical="center" wrapText="1"/>
      <protection/>
    </xf>
    <xf numFmtId="0" fontId="18" fillId="40" borderId="32" xfId="53" applyFont="1" applyFill="1" applyBorder="1" applyAlignment="1">
      <alignment horizontal="center" vertical="center"/>
      <protection/>
    </xf>
    <xf numFmtId="0" fontId="18" fillId="40" borderId="38" xfId="53" applyFont="1" applyFill="1" applyBorder="1" applyAlignment="1">
      <alignment horizontal="center" vertical="center"/>
      <protection/>
    </xf>
    <xf numFmtId="0" fontId="18" fillId="0" borderId="0" xfId="53" applyFont="1" applyAlignment="1">
      <alignment horizontal="center" vertical="center"/>
      <protection/>
    </xf>
    <xf numFmtId="0" fontId="12" fillId="40" borderId="0" xfId="53" applyFill="1">
      <alignment/>
      <protection/>
    </xf>
    <xf numFmtId="0" fontId="20" fillId="0" borderId="0" xfId="53" applyFont="1" applyAlignment="1">
      <alignment horizontal="center"/>
      <protection/>
    </xf>
    <xf numFmtId="0" fontId="4" fillId="0" borderId="30" xfId="53" applyFont="1" applyBorder="1" applyAlignment="1">
      <alignment horizontal="center" vertical="top" wrapText="1"/>
      <protection/>
    </xf>
    <xf numFmtId="0" fontId="4" fillId="0" borderId="31" xfId="53" applyFont="1" applyBorder="1" applyAlignment="1">
      <alignment horizontal="center" vertical="top" wrapText="1"/>
      <protection/>
    </xf>
    <xf numFmtId="0" fontId="4" fillId="0" borderId="38" xfId="53" applyFont="1" applyBorder="1" applyAlignment="1">
      <alignment horizontal="center" vertical="top" wrapText="1"/>
      <protection/>
    </xf>
    <xf numFmtId="0" fontId="4" fillId="0" borderId="39" xfId="53" applyFont="1" applyBorder="1" applyAlignment="1">
      <alignment horizontal="center" vertical="top" wrapText="1"/>
      <protection/>
    </xf>
    <xf numFmtId="0" fontId="4" fillId="0" borderId="40" xfId="53" applyFont="1" applyBorder="1" applyAlignment="1">
      <alignment horizontal="center"/>
      <protection/>
    </xf>
    <xf numFmtId="0" fontId="4" fillId="0" borderId="16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4" fillId="0" borderId="29" xfId="53" applyFont="1" applyBorder="1" applyAlignment="1">
      <alignment horizontal="center"/>
      <protection/>
    </xf>
    <xf numFmtId="0" fontId="4" fillId="0" borderId="20" xfId="53" applyFont="1" applyBorder="1" applyAlignment="1">
      <alignment horizontal="center"/>
      <protection/>
    </xf>
    <xf numFmtId="0" fontId="4" fillId="0" borderId="41" xfId="53" applyFont="1" applyBorder="1" applyAlignment="1">
      <alignment horizontal="center"/>
      <protection/>
    </xf>
    <xf numFmtId="0" fontId="13" fillId="0" borderId="42" xfId="53" applyFont="1" applyBorder="1">
      <alignment/>
      <protection/>
    </xf>
    <xf numFmtId="0" fontId="13" fillId="0" borderId="42" xfId="53" applyFont="1" applyBorder="1" applyAlignment="1">
      <alignment wrapText="1"/>
      <protection/>
    </xf>
    <xf numFmtId="0" fontId="13" fillId="0" borderId="43" xfId="53" applyFont="1" applyBorder="1">
      <alignment/>
      <protection/>
    </xf>
    <xf numFmtId="0" fontId="13" fillId="0" borderId="15" xfId="53" applyFont="1" applyBorder="1">
      <alignment/>
      <protection/>
    </xf>
    <xf numFmtId="0" fontId="13" fillId="0" borderId="44" xfId="53" applyFont="1" applyBorder="1">
      <alignment/>
      <protection/>
    </xf>
    <xf numFmtId="0" fontId="13" fillId="0" borderId="23" xfId="53" applyFont="1" applyBorder="1">
      <alignment/>
      <protection/>
    </xf>
    <xf numFmtId="0" fontId="13" fillId="0" borderId="45" xfId="53" applyFont="1" applyBorder="1">
      <alignment/>
      <protection/>
    </xf>
    <xf numFmtId="0" fontId="13" fillId="0" borderId="46" xfId="53" applyFont="1" applyBorder="1">
      <alignment/>
      <protection/>
    </xf>
    <xf numFmtId="0" fontId="13" fillId="0" borderId="27" xfId="53" applyFont="1" applyBorder="1">
      <alignment/>
      <protection/>
    </xf>
    <xf numFmtId="0" fontId="13" fillId="0" borderId="28" xfId="53" applyFont="1" applyBorder="1">
      <alignment/>
      <protection/>
    </xf>
    <xf numFmtId="0" fontId="13" fillId="0" borderId="14" xfId="53" applyFont="1" applyBorder="1">
      <alignment/>
      <protection/>
    </xf>
    <xf numFmtId="0" fontId="13" fillId="0" borderId="47" xfId="53" applyFont="1" applyBorder="1">
      <alignment/>
      <protection/>
    </xf>
    <xf numFmtId="0" fontId="13" fillId="0" borderId="10" xfId="53" applyFont="1" applyBorder="1">
      <alignment/>
      <protection/>
    </xf>
    <xf numFmtId="0" fontId="21" fillId="0" borderId="46" xfId="53" applyFont="1" applyBorder="1" applyAlignment="1">
      <alignment wrapText="1"/>
      <protection/>
    </xf>
    <xf numFmtId="0" fontId="13" fillId="0" borderId="46" xfId="53" applyFont="1" applyBorder="1" applyAlignment="1">
      <alignment wrapText="1"/>
      <protection/>
    </xf>
    <xf numFmtId="0" fontId="12" fillId="0" borderId="48" xfId="53" applyBorder="1">
      <alignment/>
      <protection/>
    </xf>
    <xf numFmtId="0" fontId="12" fillId="0" borderId="49" xfId="53" applyBorder="1">
      <alignment/>
      <protection/>
    </xf>
    <xf numFmtId="0" fontId="12" fillId="0" borderId="50" xfId="53" applyBorder="1">
      <alignment/>
      <protection/>
    </xf>
    <xf numFmtId="0" fontId="12" fillId="0" borderId="51" xfId="53" applyBorder="1">
      <alignment/>
      <protection/>
    </xf>
    <xf numFmtId="0" fontId="12" fillId="0" borderId="52" xfId="53" applyBorder="1">
      <alignment/>
      <protection/>
    </xf>
    <xf numFmtId="0" fontId="12" fillId="0" borderId="53" xfId="53" applyBorder="1">
      <alignment/>
      <protection/>
    </xf>
    <xf numFmtId="0" fontId="12" fillId="0" borderId="40" xfId="53" applyBorder="1">
      <alignment/>
      <protection/>
    </xf>
    <xf numFmtId="0" fontId="16" fillId="0" borderId="40" xfId="53" applyFont="1" applyBorder="1">
      <alignment/>
      <protection/>
    </xf>
    <xf numFmtId="0" fontId="12" fillId="0" borderId="16" xfId="53" applyBorder="1">
      <alignment/>
      <protection/>
    </xf>
    <xf numFmtId="0" fontId="12" fillId="0" borderId="17" xfId="53" applyBorder="1">
      <alignment/>
      <protection/>
    </xf>
    <xf numFmtId="0" fontId="12" fillId="0" borderId="29" xfId="53" applyBorder="1">
      <alignment/>
      <protection/>
    </xf>
    <xf numFmtId="0" fontId="12" fillId="0" borderId="20" xfId="53" applyBorder="1">
      <alignment/>
      <protection/>
    </xf>
    <xf numFmtId="0" fontId="12" fillId="0" borderId="41" xfId="53" applyBorder="1">
      <alignment/>
      <protection/>
    </xf>
    <xf numFmtId="0" fontId="22" fillId="0" borderId="0" xfId="53" applyFont="1">
      <alignment/>
      <protection/>
    </xf>
    <xf numFmtId="0" fontId="4" fillId="0" borderId="54" xfId="53" applyFont="1" applyBorder="1" applyAlignment="1">
      <alignment horizontal="center" vertical="top" wrapText="1"/>
      <protection/>
    </xf>
    <xf numFmtId="0" fontId="4" fillId="0" borderId="55" xfId="53" applyFont="1" applyBorder="1" applyAlignment="1">
      <alignment horizontal="center" vertical="top" wrapText="1"/>
      <protection/>
    </xf>
    <xf numFmtId="0" fontId="4" fillId="0" borderId="56" xfId="53" applyFont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horizontal="center"/>
      <protection/>
    </xf>
    <xf numFmtId="0" fontId="12" fillId="0" borderId="46" xfId="53" applyBorder="1">
      <alignment/>
      <protection/>
    </xf>
    <xf numFmtId="0" fontId="12" fillId="0" borderId="27" xfId="53" applyBorder="1">
      <alignment/>
      <protection/>
    </xf>
    <xf numFmtId="0" fontId="12" fillId="0" borderId="10" xfId="53" applyBorder="1">
      <alignment/>
      <protection/>
    </xf>
    <xf numFmtId="0" fontId="12" fillId="0" borderId="28" xfId="53" applyBorder="1">
      <alignment/>
      <protection/>
    </xf>
    <xf numFmtId="0" fontId="12" fillId="0" borderId="47" xfId="53" applyBorder="1">
      <alignment/>
      <protection/>
    </xf>
    <xf numFmtId="0" fontId="12" fillId="0" borderId="57" xfId="53" applyBorder="1">
      <alignment/>
      <protection/>
    </xf>
    <xf numFmtId="0" fontId="16" fillId="0" borderId="57" xfId="53" applyFont="1" applyBorder="1">
      <alignment/>
      <protection/>
    </xf>
    <xf numFmtId="0" fontId="12" fillId="0" borderId="33" xfId="53" applyBorder="1">
      <alignment/>
      <protection/>
    </xf>
    <xf numFmtId="0" fontId="12" fillId="0" borderId="18" xfId="53" applyBorder="1">
      <alignment/>
      <protection/>
    </xf>
    <xf numFmtId="0" fontId="12" fillId="0" borderId="34" xfId="53" applyBorder="1">
      <alignment/>
      <protection/>
    </xf>
    <xf numFmtId="0" fontId="12" fillId="0" borderId="36" xfId="53" applyBorder="1">
      <alignment/>
      <protection/>
    </xf>
    <xf numFmtId="4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4" fontId="2" fillId="35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/>
    </xf>
    <xf numFmtId="0" fontId="70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/>
    </xf>
    <xf numFmtId="0" fontId="69" fillId="0" borderId="0" xfId="0" applyFont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49" fontId="5" fillId="0" borderId="0" xfId="0" applyNumberFormat="1" applyFont="1" applyBorder="1" applyAlignment="1">
      <alignment vertical="center" wrapText="1"/>
    </xf>
    <xf numFmtId="0" fontId="4" fillId="0" borderId="0" xfId="53" applyFont="1" applyAlignment="1">
      <alignment vertical="top" wrapText="1"/>
      <protection/>
    </xf>
    <xf numFmtId="0" fontId="13" fillId="0" borderId="0" xfId="53" applyFont="1" applyFill="1" applyBorder="1" applyAlignment="1">
      <alignment horizontal="left" vertical="top" wrapText="1"/>
      <protection/>
    </xf>
    <xf numFmtId="0" fontId="4" fillId="0" borderId="0" xfId="53" applyFont="1" applyAlignment="1">
      <alignment horizontal="left" wrapText="1"/>
      <protection/>
    </xf>
    <xf numFmtId="0" fontId="4" fillId="0" borderId="0" xfId="53" applyFont="1" applyAlignment="1">
      <alignment horizontal="left"/>
      <protection/>
    </xf>
    <xf numFmtId="0" fontId="12" fillId="0" borderId="54" xfId="53" applyFill="1" applyBorder="1" applyAlignment="1">
      <alignment horizontal="center"/>
      <protection/>
    </xf>
    <xf numFmtId="0" fontId="12" fillId="0" borderId="55" xfId="53" applyFill="1" applyBorder="1" applyAlignment="1">
      <alignment horizontal="center"/>
      <protection/>
    </xf>
    <xf numFmtId="0" fontId="12" fillId="0" borderId="58" xfId="53" applyFill="1" applyBorder="1" applyAlignment="1">
      <alignment horizontal="center"/>
      <protection/>
    </xf>
    <xf numFmtId="0" fontId="12" fillId="0" borderId="56" xfId="53" applyFill="1" applyBorder="1" applyAlignment="1">
      <alignment horizontal="center"/>
      <protection/>
    </xf>
    <xf numFmtId="0" fontId="12" fillId="0" borderId="59" xfId="53" applyFill="1" applyBorder="1" applyAlignment="1">
      <alignment horizontal="center"/>
      <protection/>
    </xf>
    <xf numFmtId="49" fontId="12" fillId="0" borderId="10" xfId="53" applyNumberFormat="1" applyFill="1" applyBorder="1" applyAlignment="1">
      <alignment wrapText="1"/>
      <protection/>
    </xf>
    <xf numFmtId="0" fontId="12" fillId="0" borderId="10" xfId="53" applyFill="1" applyBorder="1">
      <alignment/>
      <protection/>
    </xf>
    <xf numFmtId="0" fontId="16" fillId="0" borderId="10" xfId="53" applyFont="1" applyFill="1" applyBorder="1">
      <alignment/>
      <protection/>
    </xf>
    <xf numFmtId="0" fontId="20" fillId="0" borderId="0" xfId="53" applyFont="1" applyAlignment="1">
      <alignment horizontal="left"/>
      <protection/>
    </xf>
    <xf numFmtId="0" fontId="18" fillId="0" borderId="46" xfId="53" applyFont="1" applyBorder="1">
      <alignment/>
      <protection/>
    </xf>
    <xf numFmtId="0" fontId="18" fillId="0" borderId="27" xfId="53" applyFont="1" applyBorder="1">
      <alignment/>
      <protection/>
    </xf>
    <xf numFmtId="0" fontId="18" fillId="0" borderId="10" xfId="53" applyFont="1" applyFill="1" applyBorder="1">
      <alignment/>
      <protection/>
    </xf>
    <xf numFmtId="0" fontId="18" fillId="0" borderId="28" xfId="53" applyFont="1" applyBorder="1">
      <alignment/>
      <protection/>
    </xf>
    <xf numFmtId="0" fontId="18" fillId="0" borderId="14" xfId="53" applyFont="1" applyBorder="1">
      <alignment/>
      <protection/>
    </xf>
    <xf numFmtId="0" fontId="23" fillId="0" borderId="0" xfId="53" applyFont="1">
      <alignment/>
      <protection/>
    </xf>
    <xf numFmtId="49" fontId="18" fillId="0" borderId="46" xfId="53" applyNumberFormat="1" applyFont="1" applyBorder="1" applyAlignment="1">
      <alignment wrapText="1"/>
      <protection/>
    </xf>
    <xf numFmtId="0" fontId="18" fillId="0" borderId="46" xfId="53" applyFont="1" applyBorder="1" applyAlignment="1">
      <alignment wrapText="1"/>
      <protection/>
    </xf>
    <xf numFmtId="0" fontId="18" fillId="0" borderId="47" xfId="53" applyFont="1" applyBorder="1" applyAlignment="1">
      <alignment wrapText="1"/>
      <protection/>
    </xf>
    <xf numFmtId="0" fontId="4" fillId="0" borderId="11" xfId="53" applyFont="1" applyBorder="1">
      <alignment/>
      <protection/>
    </xf>
    <xf numFmtId="0" fontId="73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4" fontId="2" fillId="35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69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6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5" fillId="0" borderId="11" xfId="0" applyFont="1" applyBorder="1" applyAlignment="1">
      <alignment vertical="center" wrapText="1"/>
    </xf>
    <xf numFmtId="49" fontId="65" fillId="0" borderId="11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5" fillId="0" borderId="11" xfId="0" applyFont="1" applyBorder="1" applyAlignment="1">
      <alignment horizontal="center" wrapText="1"/>
    </xf>
    <xf numFmtId="0" fontId="67" fillId="0" borderId="60" xfId="0" applyFont="1" applyBorder="1" applyAlignment="1">
      <alignment horizontal="center" vertical="top" wrapText="1"/>
    </xf>
    <xf numFmtId="0" fontId="74" fillId="0" borderId="0" xfId="0" applyFont="1" applyAlignment="1">
      <alignment horizontal="center" vertical="top" wrapText="1"/>
    </xf>
    <xf numFmtId="0" fontId="67" fillId="0" borderId="0" xfId="0" applyFont="1" applyAlignment="1">
      <alignment horizontal="center" vertical="top" wrapText="1"/>
    </xf>
    <xf numFmtId="0" fontId="66" fillId="0" borderId="0" xfId="0" applyFont="1" applyAlignment="1">
      <alignment horizontal="center" vertical="top"/>
    </xf>
    <xf numFmtId="0" fontId="65" fillId="0" borderId="11" xfId="0" applyFont="1" applyBorder="1" applyAlignment="1">
      <alignment vertical="top" wrapText="1"/>
    </xf>
    <xf numFmtId="49" fontId="65" fillId="0" borderId="11" xfId="0" applyNumberFormat="1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65" fillId="0" borderId="11" xfId="0" applyNumberFormat="1" applyFont="1" applyBorder="1" applyAlignment="1">
      <alignment horizont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61" xfId="0" applyFont="1" applyFill="1" applyBorder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left" wrapText="1"/>
      <protection/>
    </xf>
    <xf numFmtId="2" fontId="4" fillId="0" borderId="0" xfId="53" applyNumberFormat="1" applyFont="1" applyAlignment="1">
      <alignment horizontal="left" vertical="top" wrapText="1"/>
      <protection/>
    </xf>
    <xf numFmtId="0" fontId="16" fillId="0" borderId="62" xfId="53" applyFont="1" applyFill="1" applyBorder="1" applyAlignment="1">
      <alignment horizontal="center" vertical="center" wrapText="1"/>
      <protection/>
    </xf>
    <xf numFmtId="0" fontId="16" fillId="0" borderId="59" xfId="53" applyFont="1" applyFill="1" applyBorder="1" applyAlignment="1">
      <alignment horizontal="center" vertical="center" wrapText="1"/>
      <protection/>
    </xf>
    <xf numFmtId="0" fontId="16" fillId="0" borderId="63" xfId="53" applyFont="1" applyFill="1" applyBorder="1" applyAlignment="1">
      <alignment horizontal="center" vertical="center" wrapText="1"/>
      <protection/>
    </xf>
    <xf numFmtId="0" fontId="12" fillId="0" borderId="37" xfId="53" applyFill="1" applyBorder="1" applyAlignment="1">
      <alignment horizontal="center" vertical="center" wrapText="1"/>
      <protection/>
    </xf>
    <xf numFmtId="0" fontId="12" fillId="0" borderId="20" xfId="53" applyFill="1" applyBorder="1" applyAlignment="1">
      <alignment horizontal="center" vertical="center" wrapText="1"/>
      <protection/>
    </xf>
    <xf numFmtId="0" fontId="12" fillId="0" borderId="19" xfId="53" applyFill="1" applyBorder="1" applyAlignment="1">
      <alignment horizontal="center" vertical="center" wrapText="1"/>
      <protection/>
    </xf>
    <xf numFmtId="0" fontId="12" fillId="0" borderId="41" xfId="53" applyFill="1" applyBorder="1" applyAlignment="1">
      <alignment horizontal="center" vertical="center" wrapText="1"/>
      <protection/>
    </xf>
    <xf numFmtId="0" fontId="12" fillId="0" borderId="64" xfId="53" applyFill="1" applyBorder="1" applyAlignment="1">
      <alignment horizontal="center" vertical="center" wrapText="1"/>
      <protection/>
    </xf>
    <xf numFmtId="0" fontId="12" fillId="0" borderId="24" xfId="53" applyFill="1" applyBorder="1" applyAlignment="1">
      <alignment horizontal="center" vertical="center" wrapText="1"/>
      <protection/>
    </xf>
    <xf numFmtId="0" fontId="12" fillId="0" borderId="33" xfId="53" applyFill="1" applyBorder="1" applyAlignment="1">
      <alignment horizontal="center" vertical="center" wrapText="1"/>
      <protection/>
    </xf>
    <xf numFmtId="0" fontId="12" fillId="0" borderId="25" xfId="53" applyFill="1" applyBorder="1" applyAlignment="1">
      <alignment horizontal="center" vertical="center" wrapText="1"/>
      <protection/>
    </xf>
    <xf numFmtId="0" fontId="12" fillId="0" borderId="18" xfId="53" applyFill="1" applyBorder="1" applyAlignment="1">
      <alignment horizontal="center" vertical="center" wrapText="1"/>
      <protection/>
    </xf>
    <xf numFmtId="0" fontId="12" fillId="0" borderId="26" xfId="53" applyFill="1" applyBorder="1" applyAlignment="1">
      <alignment horizontal="center" vertical="center" wrapText="1"/>
      <protection/>
    </xf>
    <xf numFmtId="0" fontId="12" fillId="0" borderId="34" xfId="53" applyFill="1" applyBorder="1" applyAlignment="1">
      <alignment horizontal="center" vertical="center" wrapText="1"/>
      <protection/>
    </xf>
    <xf numFmtId="0" fontId="14" fillId="0" borderId="0" xfId="53" applyFont="1" applyFill="1" applyAlignment="1">
      <alignment horizontal="center"/>
      <protection/>
    </xf>
    <xf numFmtId="0" fontId="15" fillId="0" borderId="0" xfId="53" applyFont="1" applyFill="1" applyAlignment="1">
      <alignment horizontal="center"/>
      <protection/>
    </xf>
    <xf numFmtId="0" fontId="12" fillId="0" borderId="65" xfId="53" applyFill="1" applyBorder="1" applyAlignment="1">
      <alignment horizontal="center" vertical="center" wrapText="1"/>
      <protection/>
    </xf>
    <xf numFmtId="0" fontId="12" fillId="0" borderId="54" xfId="53" applyFill="1" applyBorder="1" applyAlignment="1">
      <alignment horizontal="center" vertical="center" wrapText="1"/>
      <protection/>
    </xf>
    <xf numFmtId="0" fontId="12" fillId="0" borderId="30" xfId="53" applyFill="1" applyBorder="1" applyAlignment="1">
      <alignment horizontal="center" vertical="center" wrapText="1"/>
      <protection/>
    </xf>
    <xf numFmtId="0" fontId="16" fillId="0" borderId="37" xfId="53" applyFont="1" applyFill="1" applyBorder="1" applyAlignment="1">
      <alignment horizontal="center" vertical="center" wrapText="1"/>
      <protection/>
    </xf>
    <xf numFmtId="0" fontId="16" fillId="0" borderId="64" xfId="53" applyFont="1" applyFill="1" applyBorder="1" applyAlignment="1">
      <alignment horizontal="center" vertical="center" wrapText="1"/>
      <protection/>
    </xf>
    <xf numFmtId="0" fontId="16" fillId="0" borderId="41" xfId="53" applyFont="1" applyFill="1" applyBorder="1" applyAlignment="1">
      <alignment horizontal="center" vertical="center" wrapText="1"/>
      <protection/>
    </xf>
    <xf numFmtId="0" fontId="16" fillId="0" borderId="65" xfId="53" applyFont="1" applyFill="1" applyBorder="1" applyAlignment="1">
      <alignment horizontal="center" vertical="center" wrapText="1"/>
      <protection/>
    </xf>
    <xf numFmtId="0" fontId="16" fillId="0" borderId="66" xfId="53" applyFont="1" applyFill="1" applyBorder="1" applyAlignment="1">
      <alignment horizontal="center" vertical="center" wrapText="1"/>
      <protection/>
    </xf>
    <xf numFmtId="0" fontId="16" fillId="0" borderId="67" xfId="53" applyFont="1" applyFill="1" applyBorder="1" applyAlignment="1">
      <alignment horizontal="center" vertical="center" wrapText="1"/>
      <protection/>
    </xf>
    <xf numFmtId="0" fontId="16" fillId="0" borderId="24" xfId="53" applyFont="1" applyFill="1" applyBorder="1" applyAlignment="1">
      <alignment horizontal="center" vertical="center" wrapText="1"/>
      <protection/>
    </xf>
    <xf numFmtId="0" fontId="16" fillId="0" borderId="26" xfId="53" applyFont="1" applyFill="1" applyBorder="1" applyAlignment="1">
      <alignment horizontal="center" vertical="center" wrapText="1"/>
      <protection/>
    </xf>
    <xf numFmtId="0" fontId="17" fillId="0" borderId="68" xfId="53" applyFont="1" applyFill="1" applyBorder="1" applyAlignment="1">
      <alignment horizontal="center" vertical="center" wrapText="1"/>
      <protection/>
    </xf>
    <xf numFmtId="0" fontId="17" fillId="0" borderId="47" xfId="53" applyFont="1" applyFill="1" applyBorder="1" applyAlignment="1">
      <alignment horizontal="center" vertical="center" wrapText="1"/>
      <protection/>
    </xf>
    <xf numFmtId="0" fontId="18" fillId="0" borderId="51" xfId="53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18" fillId="40" borderId="68" xfId="53" applyFont="1" applyFill="1" applyBorder="1" applyAlignment="1">
      <alignment horizontal="center" vertical="center" wrapText="1"/>
      <protection/>
    </xf>
    <xf numFmtId="0" fontId="12" fillId="40" borderId="14" xfId="53" applyFill="1" applyBorder="1">
      <alignment/>
      <protection/>
    </xf>
    <xf numFmtId="0" fontId="18" fillId="40" borderId="50" xfId="53" applyFont="1" applyFill="1" applyBorder="1" applyAlignment="1">
      <alignment horizontal="center" vertical="center" wrapText="1"/>
      <protection/>
    </xf>
    <xf numFmtId="0" fontId="4" fillId="40" borderId="31" xfId="53" applyFont="1" applyFill="1" applyBorder="1" applyAlignment="1">
      <alignment horizontal="center" vertical="center" wrapText="1"/>
      <protection/>
    </xf>
    <xf numFmtId="0" fontId="18" fillId="40" borderId="51" xfId="53" applyFont="1" applyFill="1" applyBorder="1" applyAlignment="1">
      <alignment horizontal="center" vertical="center" wrapText="1"/>
      <protection/>
    </xf>
    <xf numFmtId="0" fontId="4" fillId="40" borderId="38" xfId="53" applyFont="1" applyFill="1" applyBorder="1" applyAlignment="1">
      <alignment horizontal="center" vertical="center" wrapText="1"/>
      <protection/>
    </xf>
    <xf numFmtId="0" fontId="13" fillId="0" borderId="49" xfId="53" applyFont="1" applyBorder="1" applyAlignment="1">
      <alignment horizontal="center" vertical="center" textRotation="90" wrapText="1"/>
      <protection/>
    </xf>
    <xf numFmtId="0" fontId="4" fillId="0" borderId="30" xfId="53" applyFont="1" applyBorder="1" applyAlignment="1">
      <alignment horizontal="center" vertical="center" textRotation="90" wrapText="1"/>
      <protection/>
    </xf>
    <xf numFmtId="0" fontId="18" fillId="0" borderId="50" xfId="53" applyFont="1" applyBorder="1" applyAlignment="1">
      <alignment horizontal="center" vertical="center" textRotation="90" wrapText="1"/>
      <protection/>
    </xf>
    <xf numFmtId="0" fontId="18" fillId="0" borderId="31" xfId="53" applyFont="1" applyBorder="1" applyAlignment="1">
      <alignment horizontal="center" vertical="center" textRotation="90" wrapText="1"/>
      <protection/>
    </xf>
    <xf numFmtId="0" fontId="18" fillId="0" borderId="69" xfId="53" applyFont="1" applyFill="1" applyBorder="1" applyAlignment="1">
      <alignment horizontal="center" vertical="center" wrapText="1"/>
      <protection/>
    </xf>
    <xf numFmtId="0" fontId="18" fillId="0" borderId="52" xfId="53" applyFont="1" applyFill="1" applyBorder="1" applyAlignment="1">
      <alignment horizontal="center" vertical="center" wrapText="1"/>
      <protection/>
    </xf>
    <xf numFmtId="0" fontId="18" fillId="0" borderId="69" xfId="53" applyFont="1" applyBorder="1" applyAlignment="1">
      <alignment horizontal="center" vertical="center" wrapText="1"/>
      <protection/>
    </xf>
    <xf numFmtId="0" fontId="18" fillId="0" borderId="52" xfId="53" applyFont="1" applyBorder="1" applyAlignment="1">
      <alignment horizontal="center" vertical="center" wrapText="1"/>
      <protection/>
    </xf>
    <xf numFmtId="0" fontId="18" fillId="0" borderId="50" xfId="53" applyFont="1" applyBorder="1" applyAlignment="1">
      <alignment horizontal="center" vertical="center" wrapText="1"/>
      <protection/>
    </xf>
    <xf numFmtId="0" fontId="4" fillId="0" borderId="31" xfId="53" applyFont="1" applyBorder="1" applyAlignment="1">
      <alignment horizontal="center" vertical="center" wrapText="1"/>
      <protection/>
    </xf>
    <xf numFmtId="0" fontId="18" fillId="0" borderId="49" xfId="53" applyFont="1" applyBorder="1" applyAlignment="1">
      <alignment horizontal="center" vertical="center" textRotation="90" wrapText="1"/>
      <protection/>
    </xf>
    <xf numFmtId="0" fontId="18" fillId="0" borderId="30" xfId="53" applyFont="1" applyBorder="1" applyAlignment="1">
      <alignment horizontal="center" vertical="center" textRotation="90" wrapText="1"/>
      <protection/>
    </xf>
    <xf numFmtId="0" fontId="18" fillId="40" borderId="69" xfId="53" applyFont="1" applyFill="1" applyBorder="1" applyAlignment="1">
      <alignment horizontal="center" vertical="center" wrapText="1"/>
      <protection/>
    </xf>
    <xf numFmtId="0" fontId="18" fillId="40" borderId="52" xfId="53" applyFont="1" applyFill="1" applyBorder="1" applyAlignment="1">
      <alignment horizontal="center" vertical="center" wrapText="1"/>
      <protection/>
    </xf>
    <xf numFmtId="0" fontId="19" fillId="0" borderId="70" xfId="53" applyFont="1" applyBorder="1" applyAlignment="1">
      <alignment horizontal="center"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45" xfId="53" applyFont="1" applyBorder="1" applyAlignment="1">
      <alignment horizontal="center" vertical="center" wrapText="1"/>
      <protection/>
    </xf>
    <xf numFmtId="0" fontId="19" fillId="0" borderId="71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/>
      <protection/>
    </xf>
    <xf numFmtId="0" fontId="10" fillId="0" borderId="72" xfId="53" applyFont="1" applyBorder="1" applyAlignment="1">
      <alignment/>
      <protection/>
    </xf>
    <xf numFmtId="0" fontId="19" fillId="0" borderId="73" xfId="53" applyFont="1" applyBorder="1" applyAlignment="1">
      <alignment horizontal="center" vertical="center" wrapText="1"/>
      <protection/>
    </xf>
    <xf numFmtId="0" fontId="19" fillId="0" borderId="45" xfId="53" applyFont="1" applyBorder="1" applyAlignment="1">
      <alignment horizontal="center" vertical="center" wrapText="1"/>
      <protection/>
    </xf>
    <xf numFmtId="0" fontId="19" fillId="40" borderId="70" xfId="53" applyFont="1" applyFill="1" applyBorder="1" applyAlignment="1">
      <alignment horizontal="center" vertical="center" wrapText="1"/>
      <protection/>
    </xf>
    <xf numFmtId="0" fontId="12" fillId="40" borderId="45" xfId="53" applyFill="1" applyBorder="1" applyAlignment="1">
      <alignment horizontal="center" vertical="center" wrapText="1"/>
      <protection/>
    </xf>
    <xf numFmtId="0" fontId="18" fillId="0" borderId="74" xfId="53" applyFont="1" applyBorder="1" applyAlignment="1">
      <alignment horizontal="center" vertical="center" wrapText="1"/>
      <protection/>
    </xf>
    <xf numFmtId="0" fontId="18" fillId="0" borderId="53" xfId="53" applyFont="1" applyBorder="1" applyAlignment="1">
      <alignment horizontal="center" vertical="center" wrapText="1"/>
      <protection/>
    </xf>
    <xf numFmtId="0" fontId="18" fillId="0" borderId="71" xfId="53" applyFont="1" applyBorder="1" applyAlignment="1">
      <alignment horizontal="center" vertical="center" wrapText="1"/>
      <protection/>
    </xf>
    <xf numFmtId="0" fontId="18" fillId="0" borderId="72" xfId="53" applyFont="1" applyBorder="1" applyAlignment="1">
      <alignment horizontal="center" vertical="center" wrapText="1"/>
      <protection/>
    </xf>
    <xf numFmtId="0" fontId="18" fillId="0" borderId="49" xfId="53" applyFont="1" applyFill="1" applyBorder="1" applyAlignment="1">
      <alignment horizontal="center" vertical="center" textRotation="90" wrapText="1"/>
      <protection/>
    </xf>
    <xf numFmtId="0" fontId="18" fillId="0" borderId="30" xfId="53" applyFont="1" applyFill="1" applyBorder="1" applyAlignment="1">
      <alignment horizontal="center" vertical="center" textRotation="90" wrapText="1"/>
      <protection/>
    </xf>
    <xf numFmtId="0" fontId="9" fillId="0" borderId="0" xfId="53" applyFont="1" applyAlignment="1">
      <alignment horizontal="center"/>
      <protection/>
    </xf>
    <xf numFmtId="0" fontId="18" fillId="0" borderId="24" xfId="53" applyFont="1" applyBorder="1" applyAlignment="1">
      <alignment horizontal="center" vertical="center" wrapText="1"/>
      <protection/>
    </xf>
    <xf numFmtId="0" fontId="18" fillId="0" borderId="27" xfId="53" applyFont="1" applyBorder="1" applyAlignment="1">
      <alignment horizontal="center" vertical="center" wrapText="1"/>
      <protection/>
    </xf>
    <xf numFmtId="0" fontId="18" fillId="0" borderId="49" xfId="53" applyFont="1" applyBorder="1" applyAlignment="1">
      <alignment horizontal="center" vertical="center" wrapText="1"/>
      <protection/>
    </xf>
    <xf numFmtId="0" fontId="18" fillId="0" borderId="33" xfId="53" applyFont="1" applyBorder="1" applyAlignment="1">
      <alignment horizontal="center" vertical="center" wrapText="1"/>
      <protection/>
    </xf>
    <xf numFmtId="0" fontId="18" fillId="0" borderId="21" xfId="53" applyFont="1" applyBorder="1" applyAlignment="1">
      <alignment horizontal="center" vertical="center" wrapText="1"/>
      <protection/>
    </xf>
    <xf numFmtId="0" fontId="18" fillId="0" borderId="28" xfId="53" applyFont="1" applyBorder="1" applyAlignment="1">
      <alignment horizontal="center" vertical="center" wrapText="1"/>
      <protection/>
    </xf>
    <xf numFmtId="0" fontId="18" fillId="0" borderId="34" xfId="53" applyFont="1" applyBorder="1" applyAlignment="1">
      <alignment horizontal="center" vertical="center" wrapText="1"/>
      <protection/>
    </xf>
    <xf numFmtId="0" fontId="19" fillId="0" borderId="37" xfId="53" applyFont="1" applyFill="1" applyBorder="1" applyAlignment="1">
      <alignment horizontal="center"/>
      <protection/>
    </xf>
    <xf numFmtId="0" fontId="19" fillId="0" borderId="64" xfId="53" applyFont="1" applyFill="1" applyBorder="1" applyAlignment="1">
      <alignment horizontal="center"/>
      <protection/>
    </xf>
    <xf numFmtId="0" fontId="12" fillId="0" borderId="64" xfId="53" applyBorder="1" applyAlignment="1">
      <alignment horizontal="center"/>
      <protection/>
    </xf>
    <xf numFmtId="0" fontId="12" fillId="0" borderId="41" xfId="53" applyBorder="1" applyAlignment="1">
      <alignment horizontal="center"/>
      <protection/>
    </xf>
    <xf numFmtId="0" fontId="19" fillId="0" borderId="75" xfId="53" applyFont="1" applyBorder="1" applyAlignment="1">
      <alignment horizontal="center"/>
      <protection/>
    </xf>
    <xf numFmtId="0" fontId="19" fillId="0" borderId="76" xfId="53" applyFont="1" applyBorder="1" applyAlignment="1">
      <alignment horizontal="center"/>
      <protection/>
    </xf>
    <xf numFmtId="0" fontId="18" fillId="0" borderId="77" xfId="53" applyFont="1" applyBorder="1" applyAlignment="1">
      <alignment horizontal="center" vertical="center" wrapText="1"/>
      <protection/>
    </xf>
    <xf numFmtId="0" fontId="18" fillId="0" borderId="70" xfId="53" applyFont="1" applyBorder="1" applyAlignment="1">
      <alignment horizontal="center" vertical="center" wrapText="1"/>
      <protection/>
    </xf>
    <xf numFmtId="0" fontId="18" fillId="0" borderId="23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4" fillId="0" borderId="72" xfId="53" applyFont="1" applyFill="1" applyBorder="1" applyAlignment="1">
      <alignment horizontal="center" vertical="center" wrapText="1"/>
      <protection/>
    </xf>
    <xf numFmtId="0" fontId="12" fillId="0" borderId="72" xfId="53" applyBorder="1">
      <alignment/>
      <protection/>
    </xf>
    <xf numFmtId="0" fontId="4" fillId="0" borderId="37" xfId="53" applyFont="1" applyFill="1" applyBorder="1" applyAlignment="1">
      <alignment horizontal="center" vertical="center" wrapText="1"/>
      <protection/>
    </xf>
    <xf numFmtId="0" fontId="4" fillId="0" borderId="64" xfId="53" applyFont="1" applyFill="1" applyBorder="1" applyAlignment="1">
      <alignment horizontal="center" vertical="center" wrapText="1"/>
      <protection/>
    </xf>
    <xf numFmtId="0" fontId="4" fillId="0" borderId="41" xfId="53" applyFont="1" applyFill="1" applyBorder="1" applyAlignment="1">
      <alignment horizontal="center" vertical="center" wrapText="1"/>
      <protection/>
    </xf>
    <xf numFmtId="0" fontId="20" fillId="0" borderId="0" xfId="53" applyFont="1" applyAlignment="1">
      <alignment horizontal="center"/>
      <protection/>
    </xf>
    <xf numFmtId="0" fontId="4" fillId="0" borderId="78" xfId="53" applyFont="1" applyFill="1" applyBorder="1" applyAlignment="1">
      <alignment horizontal="center" vertical="center" wrapText="1"/>
      <protection/>
    </xf>
    <xf numFmtId="0" fontId="4" fillId="0" borderId="46" xfId="53" applyFont="1" applyFill="1" applyBorder="1" applyAlignment="1">
      <alignment horizontal="center" vertical="center" wrapText="1"/>
      <protection/>
    </xf>
    <xf numFmtId="0" fontId="4" fillId="0" borderId="57" xfId="53" applyFont="1" applyFill="1" applyBorder="1" applyAlignment="1">
      <alignment horizontal="center" vertical="center" wrapText="1"/>
      <protection/>
    </xf>
    <xf numFmtId="0" fontId="4" fillId="0" borderId="78" xfId="53" applyFont="1" applyBorder="1" applyAlignment="1">
      <alignment horizontal="center" vertical="center" wrapText="1"/>
      <protection/>
    </xf>
    <xf numFmtId="0" fontId="4" fillId="0" borderId="46" xfId="53" applyFont="1" applyBorder="1" applyAlignment="1">
      <alignment horizontal="center" vertical="center" wrapText="1"/>
      <protection/>
    </xf>
    <xf numFmtId="0" fontId="4" fillId="0" borderId="57" xfId="53" applyFont="1" applyBorder="1" applyAlignment="1">
      <alignment horizontal="center" vertical="center" wrapText="1"/>
      <protection/>
    </xf>
    <xf numFmtId="0" fontId="10" fillId="0" borderId="37" xfId="53" applyFont="1" applyFill="1" applyBorder="1" applyAlignment="1">
      <alignment horizontal="center" vertical="center" wrapText="1"/>
      <protection/>
    </xf>
    <xf numFmtId="0" fontId="10" fillId="0" borderId="64" xfId="53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0" fontId="18" fillId="0" borderId="48" xfId="53" applyFont="1" applyBorder="1" applyAlignment="1">
      <alignment horizontal="center" wrapText="1"/>
      <protection/>
    </xf>
    <xf numFmtId="0" fontId="18" fillId="0" borderId="42" xfId="53" applyFont="1" applyBorder="1" applyAlignment="1">
      <alignment horizontal="center" wrapText="1"/>
      <protection/>
    </xf>
    <xf numFmtId="0" fontId="4" fillId="0" borderId="48" xfId="53" applyFont="1" applyFill="1" applyBorder="1" applyAlignment="1">
      <alignment horizontal="center" vertical="center" wrapText="1"/>
      <protection/>
    </xf>
    <xf numFmtId="0" fontId="16" fillId="0" borderId="64" xfId="53" applyFont="1" applyBorder="1">
      <alignment/>
      <protection/>
    </xf>
    <xf numFmtId="0" fontId="16" fillId="0" borderId="41" xfId="53" applyFont="1" applyBorder="1">
      <alignment/>
      <protection/>
    </xf>
    <xf numFmtId="0" fontId="4" fillId="0" borderId="62" xfId="53" applyFont="1" applyFill="1" applyBorder="1" applyAlignment="1">
      <alignment horizontal="center" vertical="center" wrapText="1"/>
      <protection/>
    </xf>
    <xf numFmtId="0" fontId="12" fillId="0" borderId="59" xfId="53" applyBorder="1">
      <alignment/>
      <protection/>
    </xf>
    <xf numFmtId="0" fontId="4" fillId="0" borderId="63" xfId="53" applyFont="1" applyFill="1" applyBorder="1" applyAlignment="1">
      <alignment horizontal="center" vertical="center" wrapText="1"/>
      <protection/>
    </xf>
    <xf numFmtId="0" fontId="4" fillId="0" borderId="59" xfId="53" applyFont="1" applyFill="1" applyBorder="1" applyAlignment="1">
      <alignment horizontal="center" vertical="center" wrapText="1"/>
      <protection/>
    </xf>
    <xf numFmtId="0" fontId="4" fillId="0" borderId="48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40;&#1041;&#1054;&#1058;&#1040;\&#1050;&#1055;&#1050;&#1042;&#1050;%201510180%20(010116)\2019\&#1055;&#1088;&#1086;&#1075;&#1085;&#1086;&#1079;%202020-2022\0810160%20&#1055;&#1088;&#1086;&#1075;&#1085;&#1086;&#1079;.&#1088;&#1086;&#1079;&#1088;&#1072;&#1093;&#1091;&#1085;&#1086;&#1082;%202020,21-22%20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передній прогноз"/>
      <sheetName val=" 0810160  ЗФ 20-22"/>
      <sheetName val=" 2210,2240 за підроздіами"/>
      <sheetName val="Кап видатки 2020"/>
      <sheetName val="Кап видатки 2021"/>
      <sheetName val="Кап видатки 2022"/>
    </sheetNames>
    <sheetDataSet>
      <sheetData sheetId="1">
        <row r="1">
          <cell r="A1" t="str">
            <v>Департамент праці та соціального захисту населення Миколаївської міської ради</v>
          </cell>
        </row>
      </sheetData>
      <sheetData sheetId="2">
        <row r="72">
          <cell r="E72">
            <v>0.982</v>
          </cell>
        </row>
        <row r="74">
          <cell r="E74">
            <v>0.2305</v>
          </cell>
          <cell r="F74">
            <v>29000</v>
          </cell>
        </row>
        <row r="75">
          <cell r="E75">
            <v>90</v>
          </cell>
        </row>
        <row r="76">
          <cell r="E76">
            <v>151</v>
          </cell>
        </row>
        <row r="77">
          <cell r="E77">
            <v>148</v>
          </cell>
        </row>
        <row r="80">
          <cell r="E80">
            <v>83</v>
          </cell>
        </row>
        <row r="81">
          <cell r="E81">
            <v>60</v>
          </cell>
        </row>
        <row r="82">
          <cell r="E82">
            <v>146</v>
          </cell>
        </row>
        <row r="83">
          <cell r="E83">
            <v>150</v>
          </cell>
        </row>
        <row r="85">
          <cell r="E85">
            <v>158</v>
          </cell>
        </row>
        <row r="86">
          <cell r="E86">
            <v>146</v>
          </cell>
        </row>
        <row r="87">
          <cell r="E87">
            <v>151</v>
          </cell>
        </row>
        <row r="88">
          <cell r="E88">
            <v>146</v>
          </cell>
        </row>
        <row r="89">
          <cell r="E89">
            <v>145</v>
          </cell>
        </row>
        <row r="97">
          <cell r="E97">
            <v>120</v>
          </cell>
        </row>
        <row r="98">
          <cell r="E98">
            <v>60</v>
          </cell>
          <cell r="F98">
            <v>5</v>
          </cell>
        </row>
        <row r="99">
          <cell r="E99">
            <v>0.57</v>
          </cell>
          <cell r="F99">
            <v>200</v>
          </cell>
        </row>
        <row r="100">
          <cell r="E100">
            <v>0.48</v>
          </cell>
        </row>
        <row r="104">
          <cell r="E104">
            <v>0.712</v>
          </cell>
        </row>
        <row r="107">
          <cell r="E107">
            <v>5</v>
          </cell>
          <cell r="F107">
            <v>500</v>
          </cell>
        </row>
        <row r="108">
          <cell r="E108">
            <v>0.78</v>
          </cell>
        </row>
        <row r="111">
          <cell r="E111">
            <v>0.68</v>
          </cell>
          <cell r="F111">
            <v>100</v>
          </cell>
        </row>
        <row r="112">
          <cell r="E112">
            <v>0.63</v>
          </cell>
        </row>
        <row r="114">
          <cell r="E114">
            <v>0.294</v>
          </cell>
        </row>
        <row r="118">
          <cell r="E118">
            <v>13.5</v>
          </cell>
        </row>
        <row r="119">
          <cell r="E119">
            <v>45</v>
          </cell>
        </row>
        <row r="120">
          <cell r="E120">
            <v>30</v>
          </cell>
        </row>
        <row r="121">
          <cell r="E121">
            <v>30</v>
          </cell>
        </row>
        <row r="124">
          <cell r="E124">
            <v>14</v>
          </cell>
          <cell r="F124">
            <v>2</v>
          </cell>
        </row>
        <row r="125">
          <cell r="E125">
            <v>70</v>
          </cell>
        </row>
        <row r="126">
          <cell r="E126">
            <v>3.5</v>
          </cell>
          <cell r="F126">
            <v>17</v>
          </cell>
        </row>
        <row r="127">
          <cell r="E127">
            <v>5.5</v>
          </cell>
        </row>
        <row r="128">
          <cell r="E128">
            <v>7</v>
          </cell>
          <cell r="F128">
            <v>81</v>
          </cell>
        </row>
        <row r="129">
          <cell r="E129">
            <v>18</v>
          </cell>
          <cell r="F129">
            <v>27</v>
          </cell>
        </row>
        <row r="130">
          <cell r="E130">
            <v>220</v>
          </cell>
          <cell r="F130">
            <v>23</v>
          </cell>
        </row>
        <row r="131">
          <cell r="E131">
            <v>44</v>
          </cell>
          <cell r="F131">
            <v>2</v>
          </cell>
        </row>
        <row r="132">
          <cell r="E132">
            <v>100</v>
          </cell>
        </row>
        <row r="133">
          <cell r="E133">
            <v>12</v>
          </cell>
        </row>
        <row r="134">
          <cell r="E134">
            <v>9</v>
          </cell>
        </row>
        <row r="135">
          <cell r="E135">
            <v>75</v>
          </cell>
        </row>
        <row r="136">
          <cell r="E136">
            <v>30</v>
          </cell>
        </row>
        <row r="137">
          <cell r="E137">
            <v>5.5</v>
          </cell>
        </row>
        <row r="140">
          <cell r="E140">
            <v>18</v>
          </cell>
        </row>
        <row r="142">
          <cell r="E142">
            <v>14</v>
          </cell>
          <cell r="F142">
            <v>73</v>
          </cell>
        </row>
        <row r="143">
          <cell r="E143">
            <v>3</v>
          </cell>
        </row>
        <row r="146">
          <cell r="E146">
            <v>10</v>
          </cell>
        </row>
        <row r="147">
          <cell r="E147">
            <v>10</v>
          </cell>
          <cell r="F147">
            <v>1</v>
          </cell>
        </row>
        <row r="148">
          <cell r="E148">
            <v>10</v>
          </cell>
        </row>
        <row r="149">
          <cell r="E149">
            <v>12</v>
          </cell>
        </row>
        <row r="151">
          <cell r="E151">
            <v>45</v>
          </cell>
        </row>
        <row r="153">
          <cell r="E153">
            <v>35</v>
          </cell>
        </row>
        <row r="154">
          <cell r="E154">
            <v>4</v>
          </cell>
        </row>
        <row r="155">
          <cell r="E155">
            <v>12</v>
          </cell>
        </row>
        <row r="157">
          <cell r="E157">
            <v>68</v>
          </cell>
          <cell r="F157">
            <v>3</v>
          </cell>
        </row>
        <row r="158">
          <cell r="E158">
            <v>405</v>
          </cell>
        </row>
        <row r="163">
          <cell r="E163">
            <v>77</v>
          </cell>
          <cell r="F163">
            <v>0</v>
          </cell>
        </row>
        <row r="165">
          <cell r="E165">
            <v>41</v>
          </cell>
          <cell r="F165">
            <v>11</v>
          </cell>
        </row>
        <row r="166">
          <cell r="E166">
            <v>41</v>
          </cell>
          <cell r="F166">
            <v>5</v>
          </cell>
        </row>
        <row r="169">
          <cell r="E169">
            <v>2.4</v>
          </cell>
        </row>
        <row r="170">
          <cell r="E170">
            <v>7</v>
          </cell>
        </row>
        <row r="171">
          <cell r="E171">
            <v>34</v>
          </cell>
          <cell r="F171">
            <v>21</v>
          </cell>
        </row>
        <row r="172">
          <cell r="E172">
            <v>3</v>
          </cell>
          <cell r="F172">
            <v>85</v>
          </cell>
        </row>
        <row r="174">
          <cell r="E174">
            <v>26.4</v>
          </cell>
          <cell r="F174">
            <v>6</v>
          </cell>
        </row>
        <row r="175">
          <cell r="E175">
            <v>70</v>
          </cell>
          <cell r="F175">
            <v>2</v>
          </cell>
        </row>
        <row r="176">
          <cell r="E176">
            <v>6</v>
          </cell>
        </row>
        <row r="177">
          <cell r="E177">
            <v>430</v>
          </cell>
        </row>
        <row r="178">
          <cell r="E178">
            <v>48</v>
          </cell>
          <cell r="F178">
            <v>3</v>
          </cell>
        </row>
        <row r="180">
          <cell r="E180">
            <v>64</v>
          </cell>
        </row>
        <row r="181">
          <cell r="E181">
            <v>48</v>
          </cell>
          <cell r="F181">
            <v>5</v>
          </cell>
        </row>
        <row r="182">
          <cell r="E182">
            <v>2.3</v>
          </cell>
        </row>
        <row r="183">
          <cell r="E183">
            <v>5.8</v>
          </cell>
        </row>
        <row r="184">
          <cell r="E184">
            <v>59</v>
          </cell>
        </row>
        <row r="185">
          <cell r="E185">
            <v>18</v>
          </cell>
        </row>
        <row r="186">
          <cell r="E186">
            <v>6</v>
          </cell>
        </row>
        <row r="187">
          <cell r="E187">
            <v>16</v>
          </cell>
          <cell r="F187">
            <v>43</v>
          </cell>
        </row>
        <row r="188">
          <cell r="E188">
            <v>5.6</v>
          </cell>
          <cell r="F188">
            <v>234</v>
          </cell>
        </row>
        <row r="189">
          <cell r="E189">
            <v>8</v>
          </cell>
          <cell r="F189">
            <v>20</v>
          </cell>
        </row>
        <row r="190">
          <cell r="E190">
            <v>1200</v>
          </cell>
          <cell r="F190">
            <v>3</v>
          </cell>
        </row>
        <row r="191">
          <cell r="E191">
            <v>47</v>
          </cell>
          <cell r="F191">
            <v>5</v>
          </cell>
        </row>
        <row r="192">
          <cell r="E192">
            <v>70</v>
          </cell>
        </row>
        <row r="193">
          <cell r="E193">
            <v>111</v>
          </cell>
          <cell r="F193">
            <v>2</v>
          </cell>
        </row>
        <row r="194">
          <cell r="E194">
            <v>2</v>
          </cell>
        </row>
        <row r="196">
          <cell r="E196">
            <v>48</v>
          </cell>
        </row>
        <row r="198">
          <cell r="E198">
            <v>30</v>
          </cell>
        </row>
        <row r="199">
          <cell r="E199">
            <v>300</v>
          </cell>
        </row>
        <row r="201">
          <cell r="E201">
            <v>4</v>
          </cell>
          <cell r="F201">
            <v>0</v>
          </cell>
        </row>
        <row r="202">
          <cell r="E202">
            <v>40</v>
          </cell>
        </row>
        <row r="203">
          <cell r="E203">
            <v>1000</v>
          </cell>
          <cell r="F203">
            <v>3</v>
          </cell>
        </row>
        <row r="204">
          <cell r="E204">
            <v>85</v>
          </cell>
        </row>
        <row r="205">
          <cell r="E205">
            <v>200</v>
          </cell>
        </row>
        <row r="207">
          <cell r="E207">
            <v>12</v>
          </cell>
        </row>
        <row r="208">
          <cell r="E208">
            <v>3.2</v>
          </cell>
        </row>
        <row r="210">
          <cell r="E210">
            <v>18</v>
          </cell>
          <cell r="F210">
            <v>3</v>
          </cell>
        </row>
        <row r="216">
          <cell r="E216">
            <v>76</v>
          </cell>
        </row>
        <row r="219">
          <cell r="E219">
            <v>300</v>
          </cell>
          <cell r="F219">
            <v>2</v>
          </cell>
        </row>
        <row r="221">
          <cell r="E221">
            <v>200</v>
          </cell>
        </row>
        <row r="224">
          <cell r="E224">
            <v>117</v>
          </cell>
        </row>
        <row r="225">
          <cell r="E225">
            <v>150</v>
          </cell>
        </row>
        <row r="227">
          <cell r="E227">
            <v>70</v>
          </cell>
        </row>
        <row r="229">
          <cell r="E229">
            <v>18</v>
          </cell>
          <cell r="F229">
            <v>2</v>
          </cell>
        </row>
        <row r="231">
          <cell r="E231">
            <v>72</v>
          </cell>
        </row>
        <row r="235">
          <cell r="E235">
            <v>30</v>
          </cell>
        </row>
        <row r="237">
          <cell r="E237">
            <v>230</v>
          </cell>
        </row>
        <row r="238">
          <cell r="E238">
            <v>900</v>
          </cell>
          <cell r="F238">
            <v>1</v>
          </cell>
        </row>
        <row r="239">
          <cell r="E239">
            <v>1200</v>
          </cell>
          <cell r="F239">
            <v>1</v>
          </cell>
        </row>
        <row r="240">
          <cell r="E240">
            <v>1200</v>
          </cell>
          <cell r="F240">
            <v>1</v>
          </cell>
        </row>
        <row r="243">
          <cell r="E243">
            <v>500</v>
          </cell>
        </row>
        <row r="247">
          <cell r="E247">
            <v>38</v>
          </cell>
        </row>
        <row r="249">
          <cell r="E249">
            <v>32</v>
          </cell>
        </row>
        <row r="250">
          <cell r="E250">
            <v>240</v>
          </cell>
        </row>
        <row r="251">
          <cell r="E251">
            <v>120</v>
          </cell>
        </row>
        <row r="252">
          <cell r="E252">
            <v>5</v>
          </cell>
        </row>
        <row r="253">
          <cell r="E253">
            <v>47</v>
          </cell>
          <cell r="F253">
            <v>40</v>
          </cell>
        </row>
        <row r="255">
          <cell r="E255">
            <v>75</v>
          </cell>
          <cell r="F255">
            <v>1</v>
          </cell>
        </row>
        <row r="256">
          <cell r="E256">
            <v>75</v>
          </cell>
          <cell r="F256">
            <v>1</v>
          </cell>
        </row>
        <row r="259">
          <cell r="E259">
            <v>19</v>
          </cell>
          <cell r="F259">
            <v>49</v>
          </cell>
        </row>
        <row r="263">
          <cell r="E263">
            <v>250</v>
          </cell>
          <cell r="F263">
            <v>1</v>
          </cell>
        </row>
        <row r="264">
          <cell r="E264">
            <v>59</v>
          </cell>
          <cell r="F264">
            <v>4</v>
          </cell>
        </row>
        <row r="265">
          <cell r="E265">
            <v>4</v>
          </cell>
        </row>
        <row r="266">
          <cell r="E266">
            <v>312</v>
          </cell>
          <cell r="F266">
            <v>0</v>
          </cell>
        </row>
        <row r="267">
          <cell r="E267">
            <v>102</v>
          </cell>
          <cell r="F267">
            <v>0</v>
          </cell>
        </row>
        <row r="268">
          <cell r="E268">
            <v>80</v>
          </cell>
          <cell r="F268">
            <v>0</v>
          </cell>
        </row>
        <row r="269">
          <cell r="E269">
            <v>102</v>
          </cell>
          <cell r="F269">
            <v>0</v>
          </cell>
        </row>
        <row r="270">
          <cell r="E270">
            <v>102</v>
          </cell>
          <cell r="F270">
            <v>0</v>
          </cell>
        </row>
        <row r="271">
          <cell r="E271">
            <v>16</v>
          </cell>
        </row>
        <row r="272">
          <cell r="E272">
            <v>23</v>
          </cell>
        </row>
        <row r="274">
          <cell r="E274">
            <v>16.8</v>
          </cell>
          <cell r="F274">
            <v>0</v>
          </cell>
        </row>
        <row r="275">
          <cell r="E275">
            <v>16</v>
          </cell>
          <cell r="F275">
            <v>0</v>
          </cell>
        </row>
        <row r="276">
          <cell r="E276">
            <v>22</v>
          </cell>
          <cell r="F276">
            <v>0</v>
          </cell>
        </row>
        <row r="280">
          <cell r="E280">
            <v>1200</v>
          </cell>
          <cell r="F280">
            <v>7</v>
          </cell>
        </row>
        <row r="281">
          <cell r="E281">
            <v>1100</v>
          </cell>
        </row>
        <row r="287">
          <cell r="E287">
            <v>700</v>
          </cell>
          <cell r="F287">
            <v>1</v>
          </cell>
        </row>
      </sheetData>
      <sheetData sheetId="3">
        <row r="9">
          <cell r="E9">
            <v>15200</v>
          </cell>
        </row>
        <row r="10">
          <cell r="E10">
            <v>16000</v>
          </cell>
        </row>
        <row r="12">
          <cell r="E12">
            <v>8000</v>
          </cell>
        </row>
      </sheetData>
      <sheetData sheetId="4">
        <row r="9">
          <cell r="E9">
            <v>16066</v>
          </cell>
        </row>
        <row r="10">
          <cell r="E10">
            <v>16912</v>
          </cell>
        </row>
        <row r="11">
          <cell r="E11">
            <v>9513</v>
          </cell>
        </row>
        <row r="12">
          <cell r="E12">
            <v>8456</v>
          </cell>
        </row>
        <row r="13">
          <cell r="E13">
            <v>9513</v>
          </cell>
        </row>
        <row r="14">
          <cell r="E14">
            <v>17863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3">
      <selection activeCell="E20" sqref="E20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5" max="5" width="20.421875" style="0" customWidth="1"/>
  </cols>
  <sheetData>
    <row r="1" ht="14.25">
      <c r="K1" s="374" t="s">
        <v>0</v>
      </c>
    </row>
    <row r="2" ht="14.25">
      <c r="K2" s="374" t="s">
        <v>1</v>
      </c>
    </row>
    <row r="3" ht="14.25">
      <c r="K3" s="374" t="s">
        <v>540</v>
      </c>
    </row>
    <row r="4" ht="14.25">
      <c r="K4" s="374" t="s">
        <v>2</v>
      </c>
    </row>
    <row r="5" ht="14.25">
      <c r="K5" s="374" t="s">
        <v>671</v>
      </c>
    </row>
    <row r="6" spans="2:11" ht="15">
      <c r="B6" s="417" t="s">
        <v>668</v>
      </c>
      <c r="C6" s="417"/>
      <c r="D6" s="417"/>
      <c r="E6" s="417"/>
      <c r="F6" s="417"/>
      <c r="G6" s="417"/>
      <c r="H6" s="417"/>
      <c r="I6" s="417"/>
      <c r="J6" s="417"/>
      <c r="K6" s="417"/>
    </row>
    <row r="7" spans="1:11" ht="39" customHeight="1">
      <c r="A7" s="418" t="s">
        <v>650</v>
      </c>
      <c r="B7" s="419" t="str">
        <f>БЗ!H11</f>
        <v>Керівництво і управління у відповідній сфері у містах (місті Києві), селищах, селах, об'єднаних територіальних громадах </v>
      </c>
      <c r="C7" s="419"/>
      <c r="D7" s="419"/>
      <c r="E7" s="419"/>
      <c r="F7" s="420" t="str">
        <f>БЗ!B11</f>
        <v>0810160</v>
      </c>
      <c r="G7" s="421"/>
      <c r="H7" s="420" t="str">
        <f>БЗ!N9</f>
        <v>03194499</v>
      </c>
      <c r="I7" s="421"/>
      <c r="J7" s="420" t="str">
        <f>БЗ!N11</f>
        <v>14201100000</v>
      </c>
      <c r="K7" s="421"/>
    </row>
    <row r="8" spans="1:11" ht="42" customHeight="1">
      <c r="A8" s="418"/>
      <c r="B8" s="421" t="s">
        <v>651</v>
      </c>
      <c r="C8" s="421"/>
      <c r="D8" s="421"/>
      <c r="E8" s="421"/>
      <c r="F8" s="427" t="s">
        <v>159</v>
      </c>
      <c r="G8" s="427"/>
      <c r="H8" s="421" t="s">
        <v>160</v>
      </c>
      <c r="I8" s="421"/>
      <c r="J8" s="421" t="s">
        <v>167</v>
      </c>
      <c r="K8" s="421"/>
    </row>
    <row r="9" ht="15">
      <c r="B9" s="375"/>
    </row>
    <row r="10" ht="15">
      <c r="A10" s="376" t="s">
        <v>652</v>
      </c>
    </row>
    <row r="11" spans="1:17" ht="15">
      <c r="A11" s="376"/>
      <c r="B11" s="428" t="s">
        <v>669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</row>
    <row r="12" spans="1:11" ht="15.75" customHeight="1">
      <c r="A12" s="424" t="s">
        <v>653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</row>
    <row r="13" spans="1:11" ht="15.75" customHeight="1">
      <c r="A13" s="424"/>
      <c r="B13" s="424"/>
      <c r="C13" s="424"/>
      <c r="D13" s="424"/>
      <c r="E13" s="424"/>
      <c r="F13" s="424"/>
      <c r="G13" s="424"/>
      <c r="H13" s="424"/>
      <c r="I13" s="424"/>
      <c r="J13" s="424"/>
      <c r="K13" s="424"/>
    </row>
    <row r="14" spans="1:11" ht="15">
      <c r="A14" s="381"/>
      <c r="B14" s="426" t="s">
        <v>670</v>
      </c>
      <c r="C14" s="426"/>
      <c r="D14" s="426"/>
      <c r="E14" s="426"/>
      <c r="F14" s="426"/>
      <c r="G14" s="426"/>
      <c r="H14" s="426"/>
      <c r="I14" s="426"/>
      <c r="J14" s="426"/>
      <c r="K14" s="426"/>
    </row>
    <row r="15" ht="15">
      <c r="B15" s="375"/>
    </row>
    <row r="16" spans="2:11" ht="62.25" customHeight="1">
      <c r="B16" s="425" t="s">
        <v>654</v>
      </c>
      <c r="C16" s="425"/>
      <c r="D16" s="425"/>
      <c r="E16" s="425"/>
      <c r="F16" s="377" t="s">
        <v>35</v>
      </c>
      <c r="G16" s="377" t="s">
        <v>655</v>
      </c>
      <c r="H16" s="377" t="s">
        <v>656</v>
      </c>
      <c r="I16" s="377" t="s">
        <v>657</v>
      </c>
      <c r="J16" s="377" t="s">
        <v>658</v>
      </c>
      <c r="K16" s="377" t="s">
        <v>658</v>
      </c>
    </row>
    <row r="17" spans="2:11" ht="14.25">
      <c r="B17" s="425">
        <v>1</v>
      </c>
      <c r="C17" s="425"/>
      <c r="D17" s="425"/>
      <c r="E17" s="425"/>
      <c r="F17" s="377">
        <v>2</v>
      </c>
      <c r="G17" s="377">
        <v>3</v>
      </c>
      <c r="H17" s="377">
        <v>4</v>
      </c>
      <c r="I17" s="377">
        <v>5</v>
      </c>
      <c r="J17" s="377">
        <v>6</v>
      </c>
      <c r="K17" s="377">
        <v>7</v>
      </c>
    </row>
    <row r="18" spans="2:11" ht="16.5" customHeight="1">
      <c r="B18" s="425" t="s">
        <v>659</v>
      </c>
      <c r="C18" s="425"/>
      <c r="D18" s="425"/>
      <c r="E18" s="425"/>
      <c r="F18" s="425"/>
      <c r="G18" s="425"/>
      <c r="H18" s="425"/>
      <c r="I18" s="425"/>
      <c r="J18" s="425"/>
      <c r="K18" s="425"/>
    </row>
    <row r="19" spans="2:11" ht="14.25">
      <c r="B19" s="377"/>
      <c r="C19" s="377"/>
      <c r="D19" s="377"/>
      <c r="E19" s="377"/>
      <c r="F19" s="377"/>
      <c r="G19" s="377"/>
      <c r="H19" s="377"/>
      <c r="I19" s="378"/>
      <c r="J19" s="378"/>
      <c r="K19" s="378"/>
    </row>
    <row r="20" spans="2:11" ht="14.25">
      <c r="B20" s="377"/>
      <c r="C20" s="377"/>
      <c r="D20" s="377"/>
      <c r="E20" s="377"/>
      <c r="F20" s="377"/>
      <c r="G20" s="377"/>
      <c r="H20" s="377"/>
      <c r="I20" s="378"/>
      <c r="J20" s="378"/>
      <c r="K20" s="378"/>
    </row>
    <row r="21" spans="2:11" ht="16.5" customHeight="1">
      <c r="B21" s="425" t="s">
        <v>660</v>
      </c>
      <c r="C21" s="425"/>
      <c r="D21" s="425"/>
      <c r="E21" s="425"/>
      <c r="F21" s="425"/>
      <c r="G21" s="425"/>
      <c r="H21" s="425"/>
      <c r="I21" s="425"/>
      <c r="J21" s="425"/>
      <c r="K21" s="425"/>
    </row>
    <row r="22" spans="2:11" ht="14.25">
      <c r="B22" s="377"/>
      <c r="C22" s="377"/>
      <c r="D22" s="377"/>
      <c r="E22" s="377"/>
      <c r="F22" s="377"/>
      <c r="G22" s="377"/>
      <c r="H22" s="377"/>
      <c r="I22" s="378"/>
      <c r="J22" s="378"/>
      <c r="K22" s="378"/>
    </row>
    <row r="23" spans="2:11" ht="14.25">
      <c r="B23" s="377"/>
      <c r="C23" s="377"/>
      <c r="D23" s="377"/>
      <c r="E23" s="377"/>
      <c r="F23" s="377"/>
      <c r="G23" s="377"/>
      <c r="H23" s="377"/>
      <c r="I23" s="378"/>
      <c r="J23" s="378"/>
      <c r="K23" s="378"/>
    </row>
    <row r="24" ht="15">
      <c r="B24" s="375"/>
    </row>
    <row r="25" spans="1:11" ht="30.75" customHeight="1">
      <c r="A25" s="424" t="s">
        <v>661</v>
      </c>
      <c r="B25" s="424"/>
      <c r="C25" s="424"/>
      <c r="D25" s="424"/>
      <c r="E25" s="424"/>
      <c r="F25" s="424"/>
      <c r="G25" s="424"/>
      <c r="H25" s="424"/>
      <c r="I25" s="424"/>
      <c r="J25" s="424"/>
      <c r="K25" s="424"/>
    </row>
    <row r="26" ht="15">
      <c r="B26" s="379" t="s">
        <v>9</v>
      </c>
    </row>
    <row r="27" spans="2:11" ht="201.75" customHeight="1">
      <c r="B27" s="380" t="s">
        <v>662</v>
      </c>
      <c r="C27" s="380" t="s">
        <v>663</v>
      </c>
      <c r="D27" s="380" t="s">
        <v>664</v>
      </c>
      <c r="E27" s="380" t="s">
        <v>665</v>
      </c>
      <c r="F27" s="380" t="s">
        <v>655</v>
      </c>
      <c r="G27" s="380" t="s">
        <v>656</v>
      </c>
      <c r="H27" s="380" t="s">
        <v>657</v>
      </c>
      <c r="I27" s="380" t="s">
        <v>658</v>
      </c>
      <c r="J27" s="380" t="s">
        <v>658</v>
      </c>
      <c r="K27" s="380" t="s">
        <v>666</v>
      </c>
    </row>
    <row r="28" spans="2:11" ht="14.25">
      <c r="B28" s="380">
        <v>1</v>
      </c>
      <c r="C28" s="380">
        <v>2</v>
      </c>
      <c r="D28" s="380">
        <v>3</v>
      </c>
      <c r="E28" s="380">
        <v>4</v>
      </c>
      <c r="F28" s="380">
        <v>5</v>
      </c>
      <c r="G28" s="380">
        <v>6</v>
      </c>
      <c r="H28" s="380">
        <v>7</v>
      </c>
      <c r="I28" s="380">
        <v>8</v>
      </c>
      <c r="J28" s="380">
        <v>9</v>
      </c>
      <c r="K28" s="380">
        <v>10</v>
      </c>
    </row>
    <row r="29" spans="2:11" ht="14.25">
      <c r="B29" s="380"/>
      <c r="C29" s="380"/>
      <c r="D29" s="380"/>
      <c r="E29" s="380"/>
      <c r="F29" s="380"/>
      <c r="G29" s="380"/>
      <c r="H29" s="380"/>
      <c r="I29" s="380"/>
      <c r="J29" s="380"/>
      <c r="K29" s="380"/>
    </row>
    <row r="30" spans="2:11" ht="14.25">
      <c r="B30" s="380"/>
      <c r="C30" s="380"/>
      <c r="D30" s="380"/>
      <c r="E30" s="380"/>
      <c r="F30" s="380"/>
      <c r="G30" s="380"/>
      <c r="H30" s="380"/>
      <c r="I30" s="380"/>
      <c r="J30" s="380"/>
      <c r="K30" s="380"/>
    </row>
    <row r="31" spans="2:11" ht="14.25">
      <c r="B31" s="380"/>
      <c r="C31" s="380" t="s">
        <v>23</v>
      </c>
      <c r="D31" s="380"/>
      <c r="E31" s="380"/>
      <c r="F31" s="380"/>
      <c r="G31" s="380"/>
      <c r="H31" s="380"/>
      <c r="I31" s="380"/>
      <c r="J31" s="380"/>
      <c r="K31" s="380"/>
    </row>
    <row r="32" ht="15">
      <c r="B32" s="375"/>
    </row>
    <row r="33" spans="1:11" ht="32.25" customHeight="1">
      <c r="A33" s="424" t="s">
        <v>667</v>
      </c>
      <c r="B33" s="424"/>
      <c r="C33" s="424"/>
      <c r="D33" s="424"/>
      <c r="E33" s="424"/>
      <c r="F33" s="424"/>
      <c r="G33" s="424"/>
      <c r="H33" s="424"/>
      <c r="I33" s="424"/>
      <c r="J33" s="424"/>
      <c r="K33" s="424"/>
    </row>
    <row r="34" ht="15">
      <c r="B34" s="379" t="s">
        <v>9</v>
      </c>
    </row>
    <row r="35" spans="2:11" ht="201.75" customHeight="1">
      <c r="B35" s="380" t="s">
        <v>662</v>
      </c>
      <c r="C35" s="380" t="s">
        <v>663</v>
      </c>
      <c r="D35" s="380" t="s">
        <v>664</v>
      </c>
      <c r="E35" s="380" t="s">
        <v>665</v>
      </c>
      <c r="F35" s="380" t="s">
        <v>655</v>
      </c>
      <c r="G35" s="380" t="s">
        <v>656</v>
      </c>
      <c r="H35" s="380" t="s">
        <v>657</v>
      </c>
      <c r="I35" s="380" t="s">
        <v>658</v>
      </c>
      <c r="J35" s="380" t="s">
        <v>658</v>
      </c>
      <c r="K35" s="380" t="s">
        <v>666</v>
      </c>
    </row>
    <row r="36" spans="2:11" ht="14.25">
      <c r="B36" s="380">
        <v>1</v>
      </c>
      <c r="C36" s="380">
        <v>2</v>
      </c>
      <c r="D36" s="380">
        <v>3</v>
      </c>
      <c r="E36" s="380">
        <v>4</v>
      </c>
      <c r="F36" s="380">
        <v>5</v>
      </c>
      <c r="G36" s="380">
        <v>6</v>
      </c>
      <c r="H36" s="380">
        <v>7</v>
      </c>
      <c r="I36" s="380">
        <v>8</v>
      </c>
      <c r="J36" s="380">
        <v>9</v>
      </c>
      <c r="K36" s="380">
        <v>10</v>
      </c>
    </row>
    <row r="37" spans="2:11" ht="14.25">
      <c r="B37" s="380"/>
      <c r="C37" s="380"/>
      <c r="D37" s="380"/>
      <c r="E37" s="380"/>
      <c r="F37" s="380"/>
      <c r="G37" s="380"/>
      <c r="H37" s="380"/>
      <c r="I37" s="380"/>
      <c r="J37" s="380"/>
      <c r="K37" s="380"/>
    </row>
    <row r="38" spans="2:11" ht="14.25">
      <c r="B38" s="380"/>
      <c r="C38" s="380"/>
      <c r="D38" s="380"/>
      <c r="E38" s="380"/>
      <c r="F38" s="380"/>
      <c r="G38" s="380"/>
      <c r="H38" s="380"/>
      <c r="I38" s="380"/>
      <c r="J38" s="380"/>
      <c r="K38" s="380"/>
    </row>
    <row r="39" spans="2:11" ht="14.25">
      <c r="B39" s="380"/>
      <c r="C39" s="380" t="s">
        <v>23</v>
      </c>
      <c r="D39" s="380"/>
      <c r="E39" s="380"/>
      <c r="F39" s="380"/>
      <c r="G39" s="380"/>
      <c r="H39" s="380"/>
      <c r="I39" s="380"/>
      <c r="J39" s="380"/>
      <c r="K39" s="380"/>
    </row>
    <row r="40" ht="15">
      <c r="B40" s="375"/>
    </row>
    <row r="41" ht="15">
      <c r="B41" s="375"/>
    </row>
    <row r="42" spans="1:9" s="1" customFormat="1" ht="15" customHeight="1">
      <c r="A42" s="423" t="s">
        <v>139</v>
      </c>
      <c r="B42" s="423"/>
      <c r="C42" s="423"/>
      <c r="D42" s="18"/>
      <c r="G42" s="18" t="s">
        <v>141</v>
      </c>
      <c r="H42" s="18"/>
      <c r="I42" s="18"/>
    </row>
    <row r="43" spans="1:9" s="1" customFormat="1" ht="12.75">
      <c r="A43" s="16"/>
      <c r="B43" s="19"/>
      <c r="D43" s="17" t="s">
        <v>79</v>
      </c>
      <c r="G43" s="422" t="s">
        <v>80</v>
      </c>
      <c r="H43" s="422"/>
      <c r="I43" s="422"/>
    </row>
    <row r="44" spans="1:9" s="1" customFormat="1" ht="12.75" customHeight="1">
      <c r="A44" s="423" t="s">
        <v>140</v>
      </c>
      <c r="B44" s="423"/>
      <c r="C44" s="423"/>
      <c r="D44" s="18"/>
      <c r="G44" s="18" t="s">
        <v>142</v>
      </c>
      <c r="H44" s="18"/>
      <c r="I44" s="18"/>
    </row>
    <row r="45" spans="1:9" s="1" customFormat="1" ht="12.75">
      <c r="A45" s="20"/>
      <c r="B45" s="17"/>
      <c r="C45" s="17"/>
      <c r="D45" s="17" t="s">
        <v>79</v>
      </c>
      <c r="G45" s="422" t="s">
        <v>80</v>
      </c>
      <c r="H45" s="422"/>
      <c r="I45" s="422"/>
    </row>
  </sheetData>
  <sheetProtection/>
  <mergeCells count="23">
    <mergeCell ref="B18:K18"/>
    <mergeCell ref="B21:K21"/>
    <mergeCell ref="F8:G8"/>
    <mergeCell ref="H8:I8"/>
    <mergeCell ref="J8:K8"/>
    <mergeCell ref="B11:Q11"/>
    <mergeCell ref="G43:I43"/>
    <mergeCell ref="G45:I45"/>
    <mergeCell ref="A42:C42"/>
    <mergeCell ref="A44:C44"/>
    <mergeCell ref="A33:K33"/>
    <mergeCell ref="A12:K13"/>
    <mergeCell ref="B16:E16"/>
    <mergeCell ref="A25:K25"/>
    <mergeCell ref="B14:K14"/>
    <mergeCell ref="B17:E17"/>
    <mergeCell ref="B6:K6"/>
    <mergeCell ref="A7:A8"/>
    <mergeCell ref="B7:E7"/>
    <mergeCell ref="F7:G7"/>
    <mergeCell ref="H7:I7"/>
    <mergeCell ref="J7:K7"/>
    <mergeCell ref="B8:E8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12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7.7109375" style="274" customWidth="1"/>
    <col min="2" max="2" width="17.57421875" style="274" customWidth="1"/>
    <col min="3" max="3" width="18.140625" style="274" customWidth="1"/>
    <col min="4" max="4" width="11.00390625" style="274" customWidth="1"/>
    <col min="5" max="5" width="14.28125" style="274" customWidth="1"/>
    <col min="6" max="6" width="14.8515625" style="274" customWidth="1"/>
    <col min="7" max="8" width="8.8515625" style="274" customWidth="1"/>
    <col min="9" max="9" width="11.28125" style="274" customWidth="1"/>
    <col min="10" max="10" width="21.57421875" style="274" customWidth="1"/>
    <col min="11" max="16384" width="8.8515625" style="274" customWidth="1"/>
  </cols>
  <sheetData>
    <row r="1" ht="12.75">
      <c r="H1" s="273" t="s">
        <v>610</v>
      </c>
    </row>
    <row r="2" ht="12.75">
      <c r="H2" s="273" t="s">
        <v>557</v>
      </c>
    </row>
    <row r="3" spans="1:10" ht="13.5">
      <c r="A3" s="566" t="s">
        <v>611</v>
      </c>
      <c r="B3" s="566"/>
      <c r="C3" s="566"/>
      <c r="D3" s="566"/>
      <c r="E3" s="566"/>
      <c r="F3" s="566"/>
      <c r="G3" s="566"/>
      <c r="H3" s="566"/>
      <c r="I3" s="566"/>
      <c r="J3" s="311"/>
    </row>
    <row r="4" spans="1:10" ht="13.5">
      <c r="A4" s="311"/>
      <c r="B4" s="395" t="s">
        <v>681</v>
      </c>
      <c r="C4" s="311"/>
      <c r="D4" s="311"/>
      <c r="E4" s="311"/>
      <c r="F4" s="311"/>
      <c r="G4" s="311"/>
      <c r="H4" s="311"/>
      <c r="I4" s="311"/>
      <c r="J4" s="311"/>
    </row>
    <row r="5" spans="1:10" ht="13.5">
      <c r="A5" s="566" t="s">
        <v>682</v>
      </c>
      <c r="B5" s="566"/>
      <c r="C5" s="566"/>
      <c r="D5" s="566"/>
      <c r="E5" s="566"/>
      <c r="F5" s="566"/>
      <c r="G5" s="566"/>
      <c r="H5" s="566"/>
      <c r="I5" s="566"/>
      <c r="J5" s="311"/>
    </row>
    <row r="6" spans="1:10" ht="14.25" thickBot="1">
      <c r="A6" s="311"/>
      <c r="B6" s="311"/>
      <c r="C6" s="311"/>
      <c r="D6" s="311"/>
      <c r="E6" s="311"/>
      <c r="F6" s="311"/>
      <c r="G6" s="311"/>
      <c r="H6" s="273" t="s">
        <v>612</v>
      </c>
      <c r="I6" s="273"/>
      <c r="J6" s="311"/>
    </row>
    <row r="7" spans="1:10" ht="12.75" customHeight="1" thickBot="1">
      <c r="A7" s="567" t="s">
        <v>562</v>
      </c>
      <c r="B7" s="570" t="s">
        <v>613</v>
      </c>
      <c r="C7" s="573" t="s">
        <v>614</v>
      </c>
      <c r="D7" s="574"/>
      <c r="E7" s="574"/>
      <c r="F7" s="574"/>
      <c r="G7" s="574"/>
      <c r="H7" s="574"/>
      <c r="I7" s="574"/>
      <c r="J7" s="575"/>
    </row>
    <row r="8" spans="1:10" ht="48.75" customHeight="1" thickBot="1">
      <c r="A8" s="568"/>
      <c r="B8" s="571"/>
      <c r="C8" s="581" t="s">
        <v>615</v>
      </c>
      <c r="D8" s="563" t="s">
        <v>616</v>
      </c>
      <c r="E8" s="564"/>
      <c r="F8" s="565"/>
      <c r="G8" s="563" t="s">
        <v>617</v>
      </c>
      <c r="H8" s="564"/>
      <c r="I8" s="565"/>
      <c r="J8" s="584" t="s">
        <v>618</v>
      </c>
    </row>
    <row r="9" spans="1:10" ht="46.5" customHeight="1" thickBot="1">
      <c r="A9" s="569"/>
      <c r="B9" s="572"/>
      <c r="C9" s="583"/>
      <c r="D9" s="312" t="s">
        <v>619</v>
      </c>
      <c r="E9" s="313" t="s">
        <v>620</v>
      </c>
      <c r="F9" s="314" t="s">
        <v>621</v>
      </c>
      <c r="G9" s="315" t="s">
        <v>622</v>
      </c>
      <c r="H9" s="313" t="s">
        <v>620</v>
      </c>
      <c r="I9" s="314" t="s">
        <v>621</v>
      </c>
      <c r="J9" s="583"/>
    </row>
    <row r="10" spans="1:10" ht="13.5" thickBot="1">
      <c r="A10" s="316">
        <v>1</v>
      </c>
      <c r="B10" s="316">
        <v>2</v>
      </c>
      <c r="C10" s="316">
        <v>3</v>
      </c>
      <c r="D10" s="317">
        <v>4</v>
      </c>
      <c r="E10" s="318">
        <v>5</v>
      </c>
      <c r="F10" s="319">
        <v>6</v>
      </c>
      <c r="G10" s="320">
        <v>7</v>
      </c>
      <c r="H10" s="318">
        <v>8</v>
      </c>
      <c r="I10" s="319">
        <v>9</v>
      </c>
      <c r="J10" s="321">
        <v>10</v>
      </c>
    </row>
    <row r="11" spans="1:10" ht="13.5">
      <c r="A11" s="322"/>
      <c r="B11" s="323" t="s">
        <v>623</v>
      </c>
      <c r="C11" s="323"/>
      <c r="D11" s="324"/>
      <c r="E11" s="325"/>
      <c r="F11" s="326"/>
      <c r="G11" s="327"/>
      <c r="H11" s="325"/>
      <c r="I11" s="326"/>
      <c r="J11" s="328"/>
    </row>
    <row r="12" spans="1:10" s="401" customFormat="1" ht="45" customHeight="1">
      <c r="A12" s="402" t="s">
        <v>82</v>
      </c>
      <c r="B12" s="396" t="s">
        <v>685</v>
      </c>
      <c r="C12" s="396" t="s">
        <v>686</v>
      </c>
      <c r="D12" s="397">
        <v>31</v>
      </c>
      <c r="E12" s="398">
        <v>11942</v>
      </c>
      <c r="F12" s="399">
        <v>370.2</v>
      </c>
      <c r="G12" s="400">
        <v>6</v>
      </c>
      <c r="H12" s="398">
        <v>15867</v>
      </c>
      <c r="I12" s="399">
        <v>95.2</v>
      </c>
      <c r="J12" s="576" t="s">
        <v>691</v>
      </c>
    </row>
    <row r="13" spans="1:10" s="401" customFormat="1" ht="12">
      <c r="A13" s="402" t="s">
        <v>82</v>
      </c>
      <c r="B13" s="396" t="s">
        <v>685</v>
      </c>
      <c r="C13" s="396" t="s">
        <v>687</v>
      </c>
      <c r="D13" s="397">
        <v>3</v>
      </c>
      <c r="E13" s="398">
        <v>9000</v>
      </c>
      <c r="F13" s="399">
        <f>D13*E13/1000</f>
        <v>27</v>
      </c>
      <c r="G13" s="400">
        <v>10</v>
      </c>
      <c r="H13" s="398">
        <v>9000</v>
      </c>
      <c r="I13" s="399">
        <v>90</v>
      </c>
      <c r="J13" s="577"/>
    </row>
    <row r="14" spans="1:10" s="401" customFormat="1" ht="99" customHeight="1">
      <c r="A14" s="402" t="s">
        <v>82</v>
      </c>
      <c r="B14" s="396" t="s">
        <v>685</v>
      </c>
      <c r="C14" s="403" t="s">
        <v>690</v>
      </c>
      <c r="D14" s="397">
        <v>1</v>
      </c>
      <c r="E14" s="398">
        <v>120000</v>
      </c>
      <c r="F14" s="399">
        <v>120</v>
      </c>
      <c r="G14" s="400">
        <v>3</v>
      </c>
      <c r="H14" s="398">
        <v>120000</v>
      </c>
      <c r="I14" s="399">
        <v>360</v>
      </c>
      <c r="J14" s="404" t="s">
        <v>692</v>
      </c>
    </row>
    <row r="15" spans="1:10" ht="14.25">
      <c r="A15" s="329"/>
      <c r="B15" s="335" t="s">
        <v>578</v>
      </c>
      <c r="C15" s="336"/>
      <c r="D15" s="330">
        <f>SUM(D12:D14)</f>
        <v>35</v>
      </c>
      <c r="E15" s="334"/>
      <c r="F15" s="331">
        <f>SUM(F12:F14)</f>
        <v>517.2</v>
      </c>
      <c r="G15" s="332">
        <f>SUM(G12:G14)</f>
        <v>19</v>
      </c>
      <c r="H15" s="334"/>
      <c r="I15" s="331">
        <f>SUM(I12:I14)</f>
        <v>545.2</v>
      </c>
      <c r="J15" s="333"/>
    </row>
    <row r="16" spans="1:10" ht="13.5" thickBot="1">
      <c r="A16" s="337"/>
      <c r="B16" s="337" t="s">
        <v>624</v>
      </c>
      <c r="C16" s="337"/>
      <c r="D16" s="338"/>
      <c r="E16" s="339"/>
      <c r="F16" s="340"/>
      <c r="G16" s="341"/>
      <c r="H16" s="339"/>
      <c r="I16" s="340"/>
      <c r="J16" s="342"/>
    </row>
    <row r="17" spans="1:10" ht="13.5" thickBot="1">
      <c r="A17" s="343"/>
      <c r="B17" s="344" t="s">
        <v>625</v>
      </c>
      <c r="C17" s="343"/>
      <c r="D17" s="345"/>
      <c r="E17" s="346"/>
      <c r="F17" s="347"/>
      <c r="G17" s="348"/>
      <c r="H17" s="346"/>
      <c r="I17" s="347"/>
      <c r="J17" s="349"/>
    </row>
    <row r="18" ht="15.75" thickBot="1">
      <c r="B18" s="350"/>
    </row>
    <row r="19" spans="1:10" ht="15.75" customHeight="1" thickBot="1">
      <c r="A19" s="567" t="s">
        <v>562</v>
      </c>
      <c r="B19" s="570" t="s">
        <v>613</v>
      </c>
      <c r="C19" s="573" t="s">
        <v>626</v>
      </c>
      <c r="D19" s="579"/>
      <c r="E19" s="579"/>
      <c r="F19" s="579"/>
      <c r="G19" s="579"/>
      <c r="H19" s="579"/>
      <c r="I19" s="579"/>
      <c r="J19" s="580"/>
    </row>
    <row r="20" spans="1:10" ht="41.25" customHeight="1" thickBot="1">
      <c r="A20" s="568"/>
      <c r="B20" s="571"/>
      <c r="C20" s="581" t="s">
        <v>627</v>
      </c>
      <c r="D20" s="563" t="s">
        <v>616</v>
      </c>
      <c r="E20" s="564"/>
      <c r="F20" s="565"/>
      <c r="G20" s="563" t="s">
        <v>617</v>
      </c>
      <c r="H20" s="564"/>
      <c r="I20" s="565"/>
      <c r="J20" s="561" t="s">
        <v>618</v>
      </c>
    </row>
    <row r="21" spans="1:10" ht="53.25" thickBot="1">
      <c r="A21" s="578"/>
      <c r="B21" s="585"/>
      <c r="C21" s="582"/>
      <c r="D21" s="351" t="s">
        <v>628</v>
      </c>
      <c r="E21" s="352" t="s">
        <v>620</v>
      </c>
      <c r="F21" s="353" t="s">
        <v>621</v>
      </c>
      <c r="G21" s="351" t="s">
        <v>629</v>
      </c>
      <c r="H21" s="352" t="s">
        <v>620</v>
      </c>
      <c r="I21" s="353" t="s">
        <v>621</v>
      </c>
      <c r="J21" s="562"/>
    </row>
    <row r="22" spans="1:11" ht="13.5" thickBot="1">
      <c r="A22" s="316">
        <v>1</v>
      </c>
      <c r="B22" s="316">
        <v>2</v>
      </c>
      <c r="C22" s="316">
        <v>3</v>
      </c>
      <c r="D22" s="317">
        <v>4</v>
      </c>
      <c r="E22" s="318">
        <v>5</v>
      </c>
      <c r="F22" s="319">
        <v>6</v>
      </c>
      <c r="G22" s="317">
        <v>7</v>
      </c>
      <c r="H22" s="318">
        <v>8</v>
      </c>
      <c r="I22" s="319">
        <v>9</v>
      </c>
      <c r="J22" s="321">
        <v>10</v>
      </c>
      <c r="K22" s="354"/>
    </row>
    <row r="23" spans="1:10" ht="13.5">
      <c r="A23" s="322"/>
      <c r="B23" s="323" t="s">
        <v>623</v>
      </c>
      <c r="C23" s="323"/>
      <c r="D23" s="324"/>
      <c r="E23" s="325"/>
      <c r="F23" s="326"/>
      <c r="G23" s="324"/>
      <c r="H23" s="325"/>
      <c r="I23" s="326"/>
      <c r="J23" s="328"/>
    </row>
    <row r="24" spans="1:10" ht="14.25">
      <c r="A24" s="329"/>
      <c r="B24" s="335" t="s">
        <v>578</v>
      </c>
      <c r="C24" s="336"/>
      <c r="D24" s="330"/>
      <c r="E24" s="334"/>
      <c r="F24" s="331"/>
      <c r="G24" s="330"/>
      <c r="H24" s="334"/>
      <c r="I24" s="331"/>
      <c r="J24" s="333"/>
    </row>
    <row r="25" spans="1:10" ht="12.75">
      <c r="A25" s="355"/>
      <c r="B25" s="355"/>
      <c r="C25" s="355"/>
      <c r="D25" s="356"/>
      <c r="E25" s="357"/>
      <c r="F25" s="358"/>
      <c r="G25" s="356"/>
      <c r="H25" s="357"/>
      <c r="I25" s="358"/>
      <c r="J25" s="359"/>
    </row>
    <row r="26" spans="1:10" ht="13.5" thickBot="1">
      <c r="A26" s="360"/>
      <c r="B26" s="361" t="s">
        <v>625</v>
      </c>
      <c r="C26" s="360"/>
      <c r="D26" s="362"/>
      <c r="E26" s="363"/>
      <c r="F26" s="364"/>
      <c r="G26" s="362"/>
      <c r="H26" s="363"/>
      <c r="I26" s="364"/>
      <c r="J26" s="365"/>
    </row>
    <row r="28" spans="2:10" ht="12.75">
      <c r="B28" s="433" t="s">
        <v>139</v>
      </c>
      <c r="C28" s="433"/>
      <c r="D28" s="17"/>
      <c r="E28" s="18"/>
      <c r="F28" s="1"/>
      <c r="G28" s="1"/>
      <c r="H28" s="18" t="s">
        <v>141</v>
      </c>
      <c r="I28" s="18"/>
      <c r="J28" s="18"/>
    </row>
    <row r="29" spans="2:10" ht="12.75">
      <c r="B29" s="16"/>
      <c r="C29" s="19"/>
      <c r="D29" s="1"/>
      <c r="E29" s="17" t="s">
        <v>79</v>
      </c>
      <c r="F29" s="1"/>
      <c r="G29" s="1"/>
      <c r="H29" s="422" t="s">
        <v>80</v>
      </c>
      <c r="I29" s="422"/>
      <c r="J29" s="422"/>
    </row>
    <row r="30" spans="2:10" ht="12.75">
      <c r="B30" s="433" t="s">
        <v>140</v>
      </c>
      <c r="C30" s="433"/>
      <c r="D30" s="17"/>
      <c r="E30" s="18"/>
      <c r="F30" s="1"/>
      <c r="G30" s="1"/>
      <c r="H30" s="18" t="s">
        <v>142</v>
      </c>
      <c r="I30" s="18"/>
      <c r="J30" s="18"/>
    </row>
    <row r="31" spans="2:10" ht="12.75">
      <c r="B31" s="20"/>
      <c r="C31" s="17"/>
      <c r="D31" s="17"/>
      <c r="E31" s="17" t="s">
        <v>79</v>
      </c>
      <c r="F31" s="1"/>
      <c r="G31" s="1"/>
      <c r="H31" s="422" t="s">
        <v>80</v>
      </c>
      <c r="I31" s="422"/>
      <c r="J31" s="422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21">
    <mergeCell ref="C8:C9"/>
    <mergeCell ref="D8:F8"/>
    <mergeCell ref="G8:I8"/>
    <mergeCell ref="J8:J9"/>
    <mergeCell ref="B19:B21"/>
    <mergeCell ref="A3:I3"/>
    <mergeCell ref="A5:I5"/>
    <mergeCell ref="A7:A9"/>
    <mergeCell ref="B7:B9"/>
    <mergeCell ref="C7:J7"/>
    <mergeCell ref="D20:F20"/>
    <mergeCell ref="J12:J13"/>
    <mergeCell ref="A19:A21"/>
    <mergeCell ref="C19:J19"/>
    <mergeCell ref="C20:C21"/>
    <mergeCell ref="B28:C28"/>
    <mergeCell ref="H29:J29"/>
    <mergeCell ref="B30:C30"/>
    <mergeCell ref="H31:J31"/>
    <mergeCell ref="J20:J21"/>
    <mergeCell ref="G20:I20"/>
  </mergeCells>
  <printOptions horizontalCentered="1"/>
  <pageMargins left="0.7086614173228347" right="0.7086614173228347" top="0.31496062992125984" bottom="0.2755905511811024" header="0.3149606299212598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8"/>
  <sheetViews>
    <sheetView tabSelected="1" view="pageBreakPreview" zoomScale="92" zoomScaleNormal="70" zoomScaleSheetLayoutView="92" zoomScalePageLayoutView="0" workbookViewId="0" topLeftCell="A311">
      <selection activeCell="A313" sqref="A313:P313"/>
    </sheetView>
  </sheetViews>
  <sheetFormatPr defaultColWidth="9.140625" defaultRowHeight="15"/>
  <cols>
    <col min="1" max="1" width="17.140625" style="1" customWidth="1"/>
    <col min="2" max="2" width="25.57421875" style="1" customWidth="1"/>
    <col min="3" max="3" width="14.421875" style="1" customWidth="1"/>
    <col min="4" max="4" width="14.00390625" style="1" customWidth="1"/>
    <col min="5" max="5" width="12.7109375" style="1" customWidth="1"/>
    <col min="6" max="6" width="13.28125" style="1" customWidth="1"/>
    <col min="7" max="7" width="13.57421875" style="1" customWidth="1"/>
    <col min="8" max="8" width="15.7109375" style="1" customWidth="1"/>
    <col min="9" max="9" width="13.28125" style="1" customWidth="1"/>
    <col min="10" max="10" width="14.28125" style="1" customWidth="1"/>
    <col min="11" max="11" width="12.7109375" style="1" customWidth="1"/>
    <col min="12" max="12" width="11.28125" style="1" customWidth="1"/>
    <col min="13" max="13" width="9.57421875" style="1" customWidth="1"/>
    <col min="14" max="14" width="11.28125" style="1" customWidth="1"/>
    <col min="15" max="15" width="8.28125" style="1" customWidth="1"/>
    <col min="16" max="16384" width="9.140625" style="1" customWidth="1"/>
  </cols>
  <sheetData>
    <row r="1" ht="12.75">
      <c r="O1" s="2" t="s">
        <v>0</v>
      </c>
    </row>
    <row r="2" ht="12.75">
      <c r="O2" s="2" t="s">
        <v>1</v>
      </c>
    </row>
    <row r="3" ht="12.75">
      <c r="O3" s="2" t="s">
        <v>540</v>
      </c>
    </row>
    <row r="4" ht="12.75">
      <c r="O4" s="2" t="s">
        <v>2</v>
      </c>
    </row>
    <row r="5" ht="12.75">
      <c r="O5" s="2" t="s">
        <v>541</v>
      </c>
    </row>
    <row r="6" spans="1:16" ht="12.75">
      <c r="A6" s="434" t="s">
        <v>551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</row>
    <row r="7" spans="1:15" s="24" customFormat="1" ht="13.5">
      <c r="A7" s="435" t="s">
        <v>3</v>
      </c>
      <c r="B7" s="435"/>
      <c r="C7" s="435"/>
      <c r="D7" s="435"/>
      <c r="E7" s="435"/>
      <c r="F7" s="435"/>
      <c r="G7" s="435"/>
      <c r="H7" s="435"/>
      <c r="I7" s="435"/>
      <c r="J7" s="435"/>
      <c r="K7" s="23"/>
      <c r="L7" s="436" t="s">
        <v>542</v>
      </c>
      <c r="M7" s="436"/>
      <c r="N7" s="436" t="s">
        <v>543</v>
      </c>
      <c r="O7" s="436"/>
    </row>
    <row r="8" spans="1:15" s="24" customFormat="1" ht="48" customHeight="1">
      <c r="A8" s="449" t="s">
        <v>4</v>
      </c>
      <c r="B8" s="449"/>
      <c r="C8" s="449"/>
      <c r="D8" s="449"/>
      <c r="E8" s="449"/>
      <c r="F8" s="449"/>
      <c r="G8" s="449"/>
      <c r="H8" s="449"/>
      <c r="I8" s="449"/>
      <c r="J8" s="449"/>
      <c r="K8" s="25"/>
      <c r="L8" s="450" t="s">
        <v>159</v>
      </c>
      <c r="M8" s="450"/>
      <c r="N8" s="452" t="s">
        <v>160</v>
      </c>
      <c r="O8" s="452"/>
    </row>
    <row r="9" spans="1:15" s="24" customFormat="1" ht="13.5">
      <c r="A9" s="453" t="s">
        <v>5</v>
      </c>
      <c r="B9" s="453"/>
      <c r="C9" s="453"/>
      <c r="D9" s="453"/>
      <c r="E9" s="453"/>
      <c r="F9" s="453"/>
      <c r="G9" s="453"/>
      <c r="H9" s="453"/>
      <c r="I9" s="453"/>
      <c r="J9" s="453"/>
      <c r="K9" s="26"/>
      <c r="L9" s="454" t="s">
        <v>544</v>
      </c>
      <c r="M9" s="454"/>
      <c r="N9" s="436" t="s">
        <v>543</v>
      </c>
      <c r="O9" s="436"/>
    </row>
    <row r="10" spans="1:15" s="24" customFormat="1" ht="45.75" customHeight="1">
      <c r="A10" s="449" t="s">
        <v>6</v>
      </c>
      <c r="B10" s="449"/>
      <c r="C10" s="449"/>
      <c r="D10" s="449"/>
      <c r="E10" s="449"/>
      <c r="F10" s="449"/>
      <c r="G10" s="449"/>
      <c r="H10" s="449"/>
      <c r="I10" s="449"/>
      <c r="J10" s="449"/>
      <c r="K10" s="25"/>
      <c r="L10" s="451" t="s">
        <v>161</v>
      </c>
      <c r="M10" s="451"/>
      <c r="N10" s="452" t="s">
        <v>160</v>
      </c>
      <c r="O10" s="452"/>
    </row>
    <row r="11" spans="1:16" s="24" customFormat="1" ht="30" customHeight="1">
      <c r="A11" s="27" t="s">
        <v>162</v>
      </c>
      <c r="B11" s="265" t="s">
        <v>82</v>
      </c>
      <c r="C11" s="457" t="s">
        <v>168</v>
      </c>
      <c r="D11" s="457"/>
      <c r="E11" s="457"/>
      <c r="F11" s="457" t="s">
        <v>169</v>
      </c>
      <c r="G11" s="457"/>
      <c r="H11" s="448" t="s">
        <v>170</v>
      </c>
      <c r="I11" s="448"/>
      <c r="J11" s="448"/>
      <c r="K11" s="448"/>
      <c r="L11" s="448"/>
      <c r="M11" s="448"/>
      <c r="N11" s="456" t="s">
        <v>706</v>
      </c>
      <c r="O11" s="456"/>
      <c r="P11" s="382"/>
    </row>
    <row r="12" spans="2:15" s="24" customFormat="1" ht="39.75" customHeight="1">
      <c r="B12" s="28" t="s">
        <v>163</v>
      </c>
      <c r="C12" s="455" t="s">
        <v>164</v>
      </c>
      <c r="D12" s="455"/>
      <c r="E12" s="455"/>
      <c r="F12" s="455" t="s">
        <v>165</v>
      </c>
      <c r="G12" s="455"/>
      <c r="H12" s="455" t="s">
        <v>166</v>
      </c>
      <c r="I12" s="455"/>
      <c r="J12" s="455"/>
      <c r="K12" s="455"/>
      <c r="L12" s="455"/>
      <c r="M12" s="455"/>
      <c r="N12" s="455" t="s">
        <v>167</v>
      </c>
      <c r="O12" s="455"/>
    </row>
    <row r="13" spans="1:16" ht="12.75">
      <c r="A13" s="429" t="s">
        <v>171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</row>
    <row r="14" spans="1:16" ht="12.75">
      <c r="A14" s="429" t="s">
        <v>152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</row>
    <row r="15" spans="1:16" ht="12.75">
      <c r="A15" s="429" t="s">
        <v>158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</row>
    <row r="16" spans="1:16" ht="12.75">
      <c r="A16" s="429" t="s">
        <v>153</v>
      </c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</row>
    <row r="17" spans="1:16" ht="12.75">
      <c r="A17" s="432" t="s">
        <v>7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</row>
    <row r="18" spans="1:16" ht="12.75">
      <c r="A18" s="432" t="s">
        <v>8</v>
      </c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</row>
    <row r="19" spans="1:16" ht="12.75">
      <c r="A19" s="432" t="s">
        <v>552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</row>
    <row r="20" spans="1:16" ht="12.75">
      <c r="A20" s="432" t="s">
        <v>81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</row>
    <row r="21" spans="1:16" ht="13.5" customHeight="1">
      <c r="A21" s="432" t="s">
        <v>707</v>
      </c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</row>
    <row r="22" spans="1:16" ht="13.5" customHeight="1">
      <c r="A22" s="432" t="s">
        <v>695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</row>
    <row r="23" spans="1:16" ht="12.75">
      <c r="A23" s="429" t="s">
        <v>154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</row>
    <row r="24" spans="1:16" ht="12.75">
      <c r="A24" s="429" t="s">
        <v>499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</row>
    <row r="25" spans="1:2" ht="12.75">
      <c r="A25" s="428" t="s">
        <v>9</v>
      </c>
      <c r="B25" s="428"/>
    </row>
    <row r="28" spans="1:14" ht="12.75">
      <c r="A28" s="431" t="s">
        <v>10</v>
      </c>
      <c r="B28" s="431" t="s">
        <v>11</v>
      </c>
      <c r="C28" s="431" t="s">
        <v>500</v>
      </c>
      <c r="D28" s="431"/>
      <c r="E28" s="431"/>
      <c r="F28" s="431"/>
      <c r="G28" s="431" t="s">
        <v>501</v>
      </c>
      <c r="H28" s="431"/>
      <c r="I28" s="431"/>
      <c r="J28" s="431"/>
      <c r="K28" s="431" t="s">
        <v>502</v>
      </c>
      <c r="L28" s="431"/>
      <c r="M28" s="431"/>
      <c r="N28" s="431"/>
    </row>
    <row r="29" spans="1:14" ht="68.25" customHeight="1">
      <c r="A29" s="431"/>
      <c r="B29" s="431"/>
      <c r="C29" s="4" t="s">
        <v>12</v>
      </c>
      <c r="D29" s="4" t="s">
        <v>13</v>
      </c>
      <c r="E29" s="4" t="s">
        <v>14</v>
      </c>
      <c r="F29" s="4" t="s">
        <v>15</v>
      </c>
      <c r="G29" s="4" t="s">
        <v>12</v>
      </c>
      <c r="H29" s="4" t="s">
        <v>13</v>
      </c>
      <c r="I29" s="4" t="s">
        <v>14</v>
      </c>
      <c r="J29" s="4" t="s">
        <v>16</v>
      </c>
      <c r="K29" s="4" t="s">
        <v>12</v>
      </c>
      <c r="L29" s="4" t="s">
        <v>13</v>
      </c>
      <c r="M29" s="4" t="s">
        <v>14</v>
      </c>
      <c r="N29" s="4" t="s">
        <v>17</v>
      </c>
    </row>
    <row r="30" spans="1:14" ht="12.75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  <c r="H30" s="4">
        <v>8</v>
      </c>
      <c r="I30" s="4">
        <v>9</v>
      </c>
      <c r="J30" s="4">
        <v>10</v>
      </c>
      <c r="K30" s="4">
        <v>11</v>
      </c>
      <c r="L30" s="4">
        <v>12</v>
      </c>
      <c r="M30" s="4">
        <v>13</v>
      </c>
      <c r="N30" s="4">
        <v>14</v>
      </c>
    </row>
    <row r="31" spans="1:14" ht="66" hidden="1">
      <c r="A31" s="5" t="s">
        <v>82</v>
      </c>
      <c r="B31" s="6" t="s">
        <v>85</v>
      </c>
      <c r="C31" s="6">
        <f>C32</f>
        <v>34777110</v>
      </c>
      <c r="D31" s="6" t="str">
        <f aca="true" t="shared" si="0" ref="D31:N32">D32</f>
        <v>Х</v>
      </c>
      <c r="E31" s="6" t="str">
        <f t="shared" si="0"/>
        <v>Х</v>
      </c>
      <c r="F31" s="7">
        <f>F32+F34</f>
        <v>35081556</v>
      </c>
      <c r="G31" s="6">
        <f t="shared" si="0"/>
        <v>48572508</v>
      </c>
      <c r="H31" s="6" t="str">
        <f t="shared" si="0"/>
        <v>Х</v>
      </c>
      <c r="I31" s="6" t="str">
        <f t="shared" si="0"/>
        <v>Х</v>
      </c>
      <c r="J31" s="6">
        <f t="shared" si="0"/>
        <v>48572508</v>
      </c>
      <c r="K31" s="6">
        <f t="shared" si="0"/>
        <v>57331600</v>
      </c>
      <c r="L31" s="6" t="str">
        <f t="shared" si="0"/>
        <v>Х</v>
      </c>
      <c r="M31" s="6" t="str">
        <f t="shared" si="0"/>
        <v>Х</v>
      </c>
      <c r="N31" s="6">
        <f t="shared" si="0"/>
        <v>57331600</v>
      </c>
    </row>
    <row r="32" spans="1:14" ht="52.5" hidden="1">
      <c r="A32" s="8" t="s">
        <v>82</v>
      </c>
      <c r="B32" s="4" t="s">
        <v>83</v>
      </c>
      <c r="C32" s="4">
        <f>C33</f>
        <v>34777110</v>
      </c>
      <c r="D32" s="4" t="str">
        <f t="shared" si="0"/>
        <v>Х</v>
      </c>
      <c r="E32" s="4" t="str">
        <f t="shared" si="0"/>
        <v>Х</v>
      </c>
      <c r="F32" s="9">
        <f>F33+F35</f>
        <v>34777110</v>
      </c>
      <c r="G32" s="4">
        <f t="shared" si="0"/>
        <v>48572508</v>
      </c>
      <c r="H32" s="4" t="str">
        <f t="shared" si="0"/>
        <v>Х</v>
      </c>
      <c r="I32" s="4" t="str">
        <f t="shared" si="0"/>
        <v>Х</v>
      </c>
      <c r="J32" s="4">
        <f t="shared" si="0"/>
        <v>48572508</v>
      </c>
      <c r="K32" s="4">
        <f t="shared" si="0"/>
        <v>57331600</v>
      </c>
      <c r="L32" s="4" t="str">
        <f t="shared" si="0"/>
        <v>Х</v>
      </c>
      <c r="M32" s="4" t="str">
        <f t="shared" si="0"/>
        <v>Х</v>
      </c>
      <c r="N32" s="4">
        <f t="shared" si="0"/>
        <v>57331600</v>
      </c>
    </row>
    <row r="33" spans="1:14" ht="26.25">
      <c r="A33" s="8" t="s">
        <v>18</v>
      </c>
      <c r="B33" s="10" t="s">
        <v>19</v>
      </c>
      <c r="C33" s="4">
        <v>34777110</v>
      </c>
      <c r="D33" s="4" t="s">
        <v>20</v>
      </c>
      <c r="E33" s="4" t="s">
        <v>20</v>
      </c>
      <c r="F33" s="4">
        <f>C33</f>
        <v>34777110</v>
      </c>
      <c r="G33" s="370">
        <f>48587400-14892</f>
        <v>48572508</v>
      </c>
      <c r="H33" s="4" t="s">
        <v>20</v>
      </c>
      <c r="I33" s="4" t="s">
        <v>20</v>
      </c>
      <c r="J33" s="4">
        <f>G33</f>
        <v>48572508</v>
      </c>
      <c r="K33" s="370">
        <f>K78</f>
        <v>57331600</v>
      </c>
      <c r="L33" s="4" t="s">
        <v>20</v>
      </c>
      <c r="M33" s="4" t="s">
        <v>20</v>
      </c>
      <c r="N33" s="4">
        <f>K33</f>
        <v>57331600</v>
      </c>
    </row>
    <row r="34" spans="1:14" ht="52.5">
      <c r="A34" s="8" t="s">
        <v>148</v>
      </c>
      <c r="B34" s="10" t="s">
        <v>149</v>
      </c>
      <c r="C34" s="4" t="s">
        <v>20</v>
      </c>
      <c r="D34" s="4">
        <v>304446</v>
      </c>
      <c r="E34" s="4">
        <f>D34</f>
        <v>304446</v>
      </c>
      <c r="F34" s="4">
        <f>E34</f>
        <v>304446</v>
      </c>
      <c r="G34" s="4" t="s">
        <v>20</v>
      </c>
      <c r="H34" s="4">
        <v>501200</v>
      </c>
      <c r="I34" s="4">
        <f>H34</f>
        <v>501200</v>
      </c>
      <c r="J34" s="4">
        <f>I34</f>
        <v>501200</v>
      </c>
      <c r="K34" s="4" t="s">
        <v>20</v>
      </c>
      <c r="L34" s="4">
        <f>L78</f>
        <v>517200</v>
      </c>
      <c r="M34" s="4">
        <f>L34</f>
        <v>517200</v>
      </c>
      <c r="N34" s="4">
        <f>M34</f>
        <v>517200</v>
      </c>
    </row>
    <row r="35" spans="1:14" ht="52.5">
      <c r="A35" s="8" t="s">
        <v>18</v>
      </c>
      <c r="B35" s="10" t="s">
        <v>21</v>
      </c>
      <c r="C35" s="4" t="s">
        <v>20</v>
      </c>
      <c r="D35" s="9"/>
      <c r="E35" s="9"/>
      <c r="F35" s="9">
        <f>D35+E35</f>
        <v>0</v>
      </c>
      <c r="G35" s="4" t="s">
        <v>20</v>
      </c>
      <c r="H35" s="4"/>
      <c r="I35" s="4"/>
      <c r="J35" s="4">
        <f>H35+I35</f>
        <v>0</v>
      </c>
      <c r="K35" s="4" t="s">
        <v>20</v>
      </c>
      <c r="L35" s="4"/>
      <c r="M35" s="4"/>
      <c r="N35" s="4">
        <f>L35+M35</f>
        <v>0</v>
      </c>
    </row>
    <row r="36" spans="1:14" ht="26.25">
      <c r="A36" s="8" t="s">
        <v>18</v>
      </c>
      <c r="B36" s="10" t="s">
        <v>22</v>
      </c>
      <c r="C36" s="4" t="s">
        <v>20</v>
      </c>
      <c r="D36" s="4">
        <v>0</v>
      </c>
      <c r="E36" s="4">
        <v>0</v>
      </c>
      <c r="F36" s="4">
        <f>D36+E36</f>
        <v>0</v>
      </c>
      <c r="G36" s="4" t="s">
        <v>20</v>
      </c>
      <c r="H36" s="4"/>
      <c r="I36" s="4"/>
      <c r="J36" s="4">
        <f>H36+I36</f>
        <v>0</v>
      </c>
      <c r="K36" s="4" t="s">
        <v>20</v>
      </c>
      <c r="L36" s="4"/>
      <c r="M36" s="4"/>
      <c r="N36" s="4">
        <f>L36+M36</f>
        <v>0</v>
      </c>
    </row>
    <row r="37" spans="1:14" ht="12.75">
      <c r="A37" s="5" t="s">
        <v>18</v>
      </c>
      <c r="B37" s="6" t="s">
        <v>23</v>
      </c>
      <c r="C37" s="6">
        <f>C31</f>
        <v>34777110</v>
      </c>
      <c r="D37" s="6">
        <f>D34</f>
        <v>304446</v>
      </c>
      <c r="E37" s="6">
        <f>E34</f>
        <v>304446</v>
      </c>
      <c r="F37" s="7">
        <f>C37+D37</f>
        <v>35081556</v>
      </c>
      <c r="G37" s="6">
        <f>G31</f>
        <v>48572508</v>
      </c>
      <c r="H37" s="6">
        <f>H34</f>
        <v>501200</v>
      </c>
      <c r="I37" s="6">
        <f>I34</f>
        <v>501200</v>
      </c>
      <c r="J37" s="6">
        <f>J31+J34</f>
        <v>49073708</v>
      </c>
      <c r="K37" s="6">
        <f>SUM(K33:K36)</f>
        <v>57331600</v>
      </c>
      <c r="L37" s="6">
        <f>L34</f>
        <v>517200</v>
      </c>
      <c r="M37" s="6">
        <f>SUM(M33:M36)</f>
        <v>517200</v>
      </c>
      <c r="N37" s="6">
        <f>N31+N34</f>
        <v>57848800</v>
      </c>
    </row>
    <row r="39" spans="1:10" ht="12.75">
      <c r="A39" s="433" t="s">
        <v>155</v>
      </c>
      <c r="B39" s="433"/>
      <c r="C39" s="433"/>
      <c r="D39" s="433"/>
      <c r="E39" s="433"/>
      <c r="F39" s="433"/>
      <c r="G39" s="433"/>
      <c r="H39" s="433"/>
      <c r="I39" s="433"/>
      <c r="J39" s="433"/>
    </row>
    <row r="40" ht="12.75">
      <c r="A40" s="3" t="s">
        <v>9</v>
      </c>
    </row>
    <row r="42" spans="1:10" ht="12.75">
      <c r="A42" s="431" t="s">
        <v>10</v>
      </c>
      <c r="B42" s="431" t="s">
        <v>11</v>
      </c>
      <c r="C42" s="431" t="s">
        <v>25</v>
      </c>
      <c r="D42" s="431"/>
      <c r="E42" s="431"/>
      <c r="F42" s="431"/>
      <c r="G42" s="431" t="s">
        <v>503</v>
      </c>
      <c r="H42" s="431"/>
      <c r="I42" s="431"/>
      <c r="J42" s="431"/>
    </row>
    <row r="43" spans="1:10" ht="60.75" customHeight="1">
      <c r="A43" s="431"/>
      <c r="B43" s="431"/>
      <c r="C43" s="4" t="s">
        <v>12</v>
      </c>
      <c r="D43" s="4" t="s">
        <v>13</v>
      </c>
      <c r="E43" s="4" t="s">
        <v>14</v>
      </c>
      <c r="F43" s="4" t="s">
        <v>15</v>
      </c>
      <c r="G43" s="4" t="s">
        <v>12</v>
      </c>
      <c r="H43" s="4" t="s">
        <v>13</v>
      </c>
      <c r="I43" s="4" t="s">
        <v>14</v>
      </c>
      <c r="J43" s="4" t="s">
        <v>16</v>
      </c>
    </row>
    <row r="44" spans="1:10" ht="12.75">
      <c r="A44" s="4">
        <v>1</v>
      </c>
      <c r="B44" s="4">
        <v>2</v>
      </c>
      <c r="C44" s="4">
        <v>3</v>
      </c>
      <c r="D44" s="4">
        <v>4</v>
      </c>
      <c r="E44" s="4">
        <v>5</v>
      </c>
      <c r="F44" s="4">
        <v>6</v>
      </c>
      <c r="G44" s="4">
        <v>7</v>
      </c>
      <c r="H44" s="4">
        <v>8</v>
      </c>
      <c r="I44" s="4">
        <v>9</v>
      </c>
      <c r="J44" s="4">
        <v>10</v>
      </c>
    </row>
    <row r="45" spans="1:10" ht="66" hidden="1">
      <c r="A45" s="5" t="s">
        <v>82</v>
      </c>
      <c r="B45" s="6" t="s">
        <v>85</v>
      </c>
      <c r="C45" s="4">
        <f>C47</f>
        <v>59605769</v>
      </c>
      <c r="D45" s="4" t="str">
        <f aca="true" t="shared" si="1" ref="D45:I45">D47</f>
        <v>Х</v>
      </c>
      <c r="E45" s="4">
        <f t="shared" si="1"/>
        <v>0</v>
      </c>
      <c r="F45" s="4">
        <f>C45</f>
        <v>59605769</v>
      </c>
      <c r="G45" s="4">
        <f t="shared" si="1"/>
        <v>61872036</v>
      </c>
      <c r="H45" s="4" t="str">
        <f t="shared" si="1"/>
        <v>Х</v>
      </c>
      <c r="I45" s="4" t="str">
        <f t="shared" si="1"/>
        <v> </v>
      </c>
      <c r="J45" s="4">
        <f>J47</f>
        <v>61872036</v>
      </c>
    </row>
    <row r="46" spans="1:14" ht="52.5" hidden="1">
      <c r="A46" s="8" t="s">
        <v>82</v>
      </c>
      <c r="B46" s="4" t="s">
        <v>83</v>
      </c>
      <c r="C46" s="4">
        <f>C47</f>
        <v>59605769</v>
      </c>
      <c r="D46" s="4" t="str">
        <f aca="true" t="shared" si="2" ref="D46:J46">D47</f>
        <v>Х</v>
      </c>
      <c r="E46" s="4">
        <f t="shared" si="2"/>
        <v>0</v>
      </c>
      <c r="F46" s="9">
        <f>F47+F49</f>
        <v>59605769</v>
      </c>
      <c r="G46" s="4">
        <f t="shared" si="2"/>
        <v>61872036</v>
      </c>
      <c r="H46" s="4" t="str">
        <f t="shared" si="2"/>
        <v>Х</v>
      </c>
      <c r="I46" s="4" t="str">
        <f t="shared" si="2"/>
        <v> </v>
      </c>
      <c r="J46" s="4">
        <f t="shared" si="2"/>
        <v>61872036</v>
      </c>
      <c r="K46" s="11"/>
      <c r="L46" s="11"/>
      <c r="M46" s="11"/>
      <c r="N46" s="11"/>
    </row>
    <row r="47" spans="1:10" ht="26.25">
      <c r="A47" s="10" t="s">
        <v>18</v>
      </c>
      <c r="B47" s="10" t="s">
        <v>19</v>
      </c>
      <c r="C47" s="370">
        <f>C110</f>
        <v>59605769</v>
      </c>
      <c r="D47" s="4" t="s">
        <v>20</v>
      </c>
      <c r="E47" s="4"/>
      <c r="F47" s="4">
        <f>C47</f>
        <v>59605769</v>
      </c>
      <c r="G47" s="370">
        <f>G110</f>
        <v>61872036</v>
      </c>
      <c r="H47" s="4" t="s">
        <v>20</v>
      </c>
      <c r="I47" s="4" t="s">
        <v>18</v>
      </c>
      <c r="J47" s="10">
        <f>G47</f>
        <v>61872036</v>
      </c>
    </row>
    <row r="48" spans="1:10" ht="52.5">
      <c r="A48" s="8" t="s">
        <v>148</v>
      </c>
      <c r="B48" s="10" t="s">
        <v>149</v>
      </c>
      <c r="C48" s="4" t="s">
        <v>20</v>
      </c>
      <c r="D48" s="204">
        <f>'Кап.2021'!F13</f>
        <v>544600</v>
      </c>
      <c r="E48" s="4">
        <f>D48</f>
        <v>544600</v>
      </c>
      <c r="F48" s="4">
        <f>E48</f>
        <v>544600</v>
      </c>
      <c r="G48" s="4" t="s">
        <v>20</v>
      </c>
      <c r="H48" s="4">
        <f>H110</f>
        <v>572400</v>
      </c>
      <c r="I48" s="204">
        <f>'Кап.2022'!F14</f>
        <v>572400</v>
      </c>
      <c r="J48" s="10">
        <f>I48</f>
        <v>572400</v>
      </c>
    </row>
    <row r="49" spans="1:10" ht="52.5">
      <c r="A49" s="10" t="s">
        <v>18</v>
      </c>
      <c r="B49" s="10" t="s">
        <v>26</v>
      </c>
      <c r="C49" s="4" t="s">
        <v>20</v>
      </c>
      <c r="D49" s="4"/>
      <c r="E49" s="4"/>
      <c r="F49" s="4">
        <f>D49+E49</f>
        <v>0</v>
      </c>
      <c r="G49" s="4" t="s">
        <v>20</v>
      </c>
      <c r="H49" s="4"/>
      <c r="I49" s="4"/>
      <c r="J49" s="10">
        <f>H49+I49</f>
        <v>0</v>
      </c>
    </row>
    <row r="50" spans="1:10" ht="26.25">
      <c r="A50" s="10" t="s">
        <v>18</v>
      </c>
      <c r="B50" s="10" t="s">
        <v>22</v>
      </c>
      <c r="C50" s="4" t="s">
        <v>20</v>
      </c>
      <c r="D50" s="4"/>
      <c r="E50" s="4"/>
      <c r="F50" s="4">
        <f>D50+E50</f>
        <v>0</v>
      </c>
      <c r="G50" s="4" t="s">
        <v>20</v>
      </c>
      <c r="H50" s="4"/>
      <c r="I50" s="4"/>
      <c r="J50" s="10">
        <f>H50+I50</f>
        <v>0</v>
      </c>
    </row>
    <row r="51" spans="1:10" ht="12.75">
      <c r="A51" s="12" t="s">
        <v>18</v>
      </c>
      <c r="B51" s="6" t="s">
        <v>23</v>
      </c>
      <c r="C51" s="12">
        <f>C47</f>
        <v>59605769</v>
      </c>
      <c r="D51" s="13">
        <f>D48</f>
        <v>544600</v>
      </c>
      <c r="E51" s="14">
        <f>E48</f>
        <v>544600</v>
      </c>
      <c r="F51" s="13">
        <f>F45+F48</f>
        <v>60150369</v>
      </c>
      <c r="G51" s="14"/>
      <c r="H51" s="14">
        <f>H48</f>
        <v>572400</v>
      </c>
      <c r="I51" s="14">
        <f>I48</f>
        <v>572400</v>
      </c>
      <c r="J51" s="13">
        <f>J45+J48</f>
        <v>62444436</v>
      </c>
    </row>
    <row r="53" ht="13.5" customHeight="1"/>
    <row r="54" spans="1:14" ht="13.5" customHeight="1">
      <c r="A54" s="429" t="s">
        <v>27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</row>
    <row r="55" spans="1:14" ht="13.5" customHeight="1">
      <c r="A55" s="429" t="s">
        <v>504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</row>
    <row r="56" ht="12.75">
      <c r="A56" s="3" t="s">
        <v>9</v>
      </c>
    </row>
    <row r="57" spans="1:14" ht="68.25" customHeight="1">
      <c r="A57" s="431" t="s">
        <v>86</v>
      </c>
      <c r="B57" s="431" t="s">
        <v>11</v>
      </c>
      <c r="C57" s="431" t="s">
        <v>500</v>
      </c>
      <c r="D57" s="431"/>
      <c r="E57" s="431"/>
      <c r="F57" s="431"/>
      <c r="G57" s="431" t="s">
        <v>501</v>
      </c>
      <c r="H57" s="431"/>
      <c r="I57" s="431"/>
      <c r="J57" s="431"/>
      <c r="K57" s="431" t="s">
        <v>502</v>
      </c>
      <c r="L57" s="431"/>
      <c r="M57" s="431"/>
      <c r="N57" s="431"/>
    </row>
    <row r="58" spans="1:14" ht="52.5">
      <c r="A58" s="431"/>
      <c r="B58" s="431"/>
      <c r="C58" s="4" t="s">
        <v>12</v>
      </c>
      <c r="D58" s="4" t="s">
        <v>13</v>
      </c>
      <c r="E58" s="4" t="s">
        <v>14</v>
      </c>
      <c r="F58" s="4" t="s">
        <v>15</v>
      </c>
      <c r="G58" s="4" t="s">
        <v>12</v>
      </c>
      <c r="H58" s="4" t="s">
        <v>13</v>
      </c>
      <c r="I58" s="4" t="s">
        <v>14</v>
      </c>
      <c r="J58" s="4" t="s">
        <v>16</v>
      </c>
      <c r="K58" s="4" t="s">
        <v>12</v>
      </c>
      <c r="L58" s="4" t="s">
        <v>13</v>
      </c>
      <c r="M58" s="4" t="s">
        <v>14</v>
      </c>
      <c r="N58" s="4" t="s">
        <v>17</v>
      </c>
    </row>
    <row r="59" spans="1:14" ht="12.75">
      <c r="A59" s="4">
        <v>1</v>
      </c>
      <c r="B59" s="4">
        <v>2</v>
      </c>
      <c r="C59" s="4">
        <v>3</v>
      </c>
      <c r="D59" s="4">
        <v>4</v>
      </c>
      <c r="E59" s="4">
        <v>5</v>
      </c>
      <c r="F59" s="4">
        <v>6</v>
      </c>
      <c r="G59" s="4">
        <v>7</v>
      </c>
      <c r="H59" s="4">
        <v>8</v>
      </c>
      <c r="I59" s="4">
        <v>9</v>
      </c>
      <c r="J59" s="4">
        <v>10</v>
      </c>
      <c r="K59" s="4">
        <v>11</v>
      </c>
      <c r="L59" s="4">
        <v>12</v>
      </c>
      <c r="M59" s="4">
        <v>13</v>
      </c>
      <c r="N59" s="4">
        <v>14</v>
      </c>
    </row>
    <row r="60" spans="1:14" ht="66" hidden="1">
      <c r="A60" s="5" t="s">
        <v>82</v>
      </c>
      <c r="B60" s="6" t="s">
        <v>85</v>
      </c>
      <c r="C60" s="6">
        <f>C61</f>
        <v>34777110</v>
      </c>
      <c r="D60" s="6">
        <f>D61+D74</f>
        <v>304446</v>
      </c>
      <c r="E60" s="6">
        <f>E61</f>
        <v>0</v>
      </c>
      <c r="F60" s="6">
        <f>C60+D60</f>
        <v>35081556</v>
      </c>
      <c r="G60" s="6">
        <f>G61</f>
        <v>48572508</v>
      </c>
      <c r="H60" s="6">
        <f>H61+H74</f>
        <v>401200</v>
      </c>
      <c r="I60" s="6">
        <f>I61</f>
        <v>0</v>
      </c>
      <c r="J60" s="6">
        <f>G60+H60</f>
        <v>48973708</v>
      </c>
      <c r="K60" s="6">
        <f>K61</f>
        <v>57331600</v>
      </c>
      <c r="L60" s="6">
        <f>L61</f>
        <v>0</v>
      </c>
      <c r="M60" s="6">
        <f>M61</f>
        <v>0</v>
      </c>
      <c r="N60" s="6">
        <f>N61</f>
        <v>57331600</v>
      </c>
    </row>
    <row r="61" spans="1:14" ht="66" hidden="1">
      <c r="A61" s="8" t="s">
        <v>82</v>
      </c>
      <c r="B61" s="4" t="s">
        <v>85</v>
      </c>
      <c r="C61" s="4">
        <f aca="true" t="shared" si="3" ref="C61:M61">SUM(C62:C73)</f>
        <v>34777110</v>
      </c>
      <c r="D61" s="4">
        <f t="shared" si="3"/>
        <v>0</v>
      </c>
      <c r="E61" s="4">
        <f t="shared" si="3"/>
        <v>0</v>
      </c>
      <c r="F61" s="4">
        <f t="shared" si="3"/>
        <v>34777110</v>
      </c>
      <c r="G61" s="4">
        <f t="shared" si="3"/>
        <v>48572508</v>
      </c>
      <c r="H61" s="4">
        <f t="shared" si="3"/>
        <v>0</v>
      </c>
      <c r="I61" s="4">
        <f t="shared" si="3"/>
        <v>0</v>
      </c>
      <c r="J61" s="4">
        <f t="shared" si="3"/>
        <v>48572508</v>
      </c>
      <c r="K61" s="4">
        <f t="shared" si="3"/>
        <v>57331600</v>
      </c>
      <c r="L61" s="4">
        <f t="shared" si="3"/>
        <v>0</v>
      </c>
      <c r="M61" s="4">
        <f t="shared" si="3"/>
        <v>0</v>
      </c>
      <c r="N61" s="4">
        <f>SUM(N62:N73)</f>
        <v>57331600</v>
      </c>
    </row>
    <row r="62" spans="1:14" ht="12.75">
      <c r="A62" s="8" t="s">
        <v>87</v>
      </c>
      <c r="B62" s="10" t="s">
        <v>88</v>
      </c>
      <c r="C62" s="4">
        <v>26276899</v>
      </c>
      <c r="D62" s="4">
        <v>0</v>
      </c>
      <c r="E62" s="4">
        <v>0</v>
      </c>
      <c r="F62" s="4">
        <f aca="true" t="shared" si="4" ref="F62:F73">C62+D62</f>
        <v>26276899</v>
      </c>
      <c r="G62" s="4">
        <v>37500800</v>
      </c>
      <c r="H62" s="4">
        <v>0</v>
      </c>
      <c r="I62" s="4">
        <f aca="true" t="shared" si="5" ref="I62:I73">H62</f>
        <v>0</v>
      </c>
      <c r="J62" s="4">
        <f aca="true" t="shared" si="6" ref="J62:J73">G62+H62</f>
        <v>37500800</v>
      </c>
      <c r="K62" s="203">
        <f>'Розрах. поточ.'!H7</f>
        <v>44870400</v>
      </c>
      <c r="L62" s="4">
        <v>0</v>
      </c>
      <c r="M62" s="4">
        <f aca="true" t="shared" si="7" ref="M62:M73">L62</f>
        <v>0</v>
      </c>
      <c r="N62" s="4">
        <f aca="true" t="shared" si="8" ref="N62:N67">K62+L62</f>
        <v>44870400</v>
      </c>
    </row>
    <row r="63" spans="1:14" ht="26.25">
      <c r="A63" s="8" t="s">
        <v>89</v>
      </c>
      <c r="B63" s="10" t="s">
        <v>90</v>
      </c>
      <c r="C63" s="4">
        <v>5758968</v>
      </c>
      <c r="D63" s="4"/>
      <c r="E63" s="4"/>
      <c r="F63" s="4">
        <f t="shared" si="4"/>
        <v>5758968</v>
      </c>
      <c r="G63" s="4">
        <v>8257202</v>
      </c>
      <c r="H63" s="4">
        <v>0</v>
      </c>
      <c r="I63" s="4">
        <f t="shared" si="5"/>
        <v>0</v>
      </c>
      <c r="J63" s="4">
        <f t="shared" si="6"/>
        <v>8257202</v>
      </c>
      <c r="K63" s="203">
        <f>'Розрах. поточ.'!H63</f>
        <v>9856002</v>
      </c>
      <c r="L63" s="4">
        <v>0</v>
      </c>
      <c r="M63" s="4">
        <f t="shared" si="7"/>
        <v>0</v>
      </c>
      <c r="N63" s="4">
        <f t="shared" si="8"/>
        <v>9856002</v>
      </c>
    </row>
    <row r="64" spans="1:14" ht="26.25">
      <c r="A64" s="8" t="s">
        <v>91</v>
      </c>
      <c r="B64" s="10" t="s">
        <v>92</v>
      </c>
      <c r="C64" s="4">
        <v>992072</v>
      </c>
      <c r="D64" s="4">
        <v>0</v>
      </c>
      <c r="E64" s="4">
        <f aca="true" t="shared" si="9" ref="E64:E73">D64</f>
        <v>0</v>
      </c>
      <c r="F64" s="4">
        <f t="shared" si="4"/>
        <v>992072</v>
      </c>
      <c r="G64" s="4">
        <v>763715</v>
      </c>
      <c r="H64" s="4">
        <v>0</v>
      </c>
      <c r="I64" s="4">
        <f t="shared" si="5"/>
        <v>0</v>
      </c>
      <c r="J64" s="4">
        <f t="shared" si="6"/>
        <v>763715</v>
      </c>
      <c r="K64" s="204">
        <f>'Розрах. поточ.'!H70</f>
        <v>757406</v>
      </c>
      <c r="L64" s="4">
        <v>0</v>
      </c>
      <c r="M64" s="4">
        <f t="shared" si="7"/>
        <v>0</v>
      </c>
      <c r="N64" s="4">
        <f t="shared" si="8"/>
        <v>757406</v>
      </c>
    </row>
    <row r="65" spans="1:14" ht="26.25">
      <c r="A65" s="8" t="s">
        <v>93</v>
      </c>
      <c r="B65" s="10" t="s">
        <v>94</v>
      </c>
      <c r="C65" s="4">
        <v>874025</v>
      </c>
      <c r="D65" s="4">
        <v>0</v>
      </c>
      <c r="E65" s="4">
        <f t="shared" si="9"/>
        <v>0</v>
      </c>
      <c r="F65" s="4">
        <f t="shared" si="4"/>
        <v>874025</v>
      </c>
      <c r="G65" s="4">
        <v>1030111</v>
      </c>
      <c r="H65" s="4">
        <v>0</v>
      </c>
      <c r="I65" s="4">
        <f t="shared" si="5"/>
        <v>0</v>
      </c>
      <c r="J65" s="4">
        <f t="shared" si="6"/>
        <v>1030111</v>
      </c>
      <c r="K65" s="204">
        <f>'Розрах. поточ.'!H239</f>
        <v>767928</v>
      </c>
      <c r="L65" s="4">
        <v>0</v>
      </c>
      <c r="M65" s="4">
        <f t="shared" si="7"/>
        <v>0</v>
      </c>
      <c r="N65" s="4">
        <f t="shared" si="8"/>
        <v>767928</v>
      </c>
    </row>
    <row r="66" spans="1:14" ht="12.75">
      <c r="A66" s="8" t="s">
        <v>95</v>
      </c>
      <c r="B66" s="4" t="s">
        <v>96</v>
      </c>
      <c r="C66" s="4">
        <v>7539</v>
      </c>
      <c r="D66" s="4">
        <v>0</v>
      </c>
      <c r="E66" s="4">
        <f t="shared" si="9"/>
        <v>0</v>
      </c>
      <c r="F66" s="4">
        <f t="shared" si="4"/>
        <v>7539</v>
      </c>
      <c r="G66" s="4">
        <v>11000</v>
      </c>
      <c r="H66" s="4">
        <v>0</v>
      </c>
      <c r="I66" s="4">
        <f t="shared" si="5"/>
        <v>0</v>
      </c>
      <c r="J66" s="4">
        <f t="shared" si="6"/>
        <v>11000</v>
      </c>
      <c r="K66" s="203">
        <f>'Розрах. поточ.'!H297</f>
        <v>11332</v>
      </c>
      <c r="L66" s="4">
        <v>0</v>
      </c>
      <c r="M66" s="4">
        <f t="shared" si="7"/>
        <v>0</v>
      </c>
      <c r="N66" s="4">
        <f t="shared" si="8"/>
        <v>11332</v>
      </c>
    </row>
    <row r="67" spans="1:14" ht="12.75">
      <c r="A67" s="8" t="s">
        <v>97</v>
      </c>
      <c r="B67" s="10" t="s">
        <v>98</v>
      </c>
      <c r="C67" s="4">
        <v>321659</v>
      </c>
      <c r="D67" s="4">
        <v>0</v>
      </c>
      <c r="E67" s="4">
        <f t="shared" si="9"/>
        <v>0</v>
      </c>
      <c r="F67" s="4">
        <f t="shared" si="4"/>
        <v>321659</v>
      </c>
      <c r="G67" s="4">
        <v>328931</v>
      </c>
      <c r="H67" s="4">
        <v>0</v>
      </c>
      <c r="I67" s="4">
        <f t="shared" si="5"/>
        <v>0</v>
      </c>
      <c r="J67" s="4">
        <f t="shared" si="6"/>
        <v>328931</v>
      </c>
      <c r="K67" s="204">
        <f>'Розрах. поточ.'!H301</f>
        <v>338356</v>
      </c>
      <c r="L67" s="4">
        <v>0</v>
      </c>
      <c r="M67" s="4">
        <f t="shared" si="7"/>
        <v>0</v>
      </c>
      <c r="N67" s="4">
        <f t="shared" si="8"/>
        <v>338356</v>
      </c>
    </row>
    <row r="68" spans="1:14" ht="26.25">
      <c r="A68" s="8" t="s">
        <v>99</v>
      </c>
      <c r="B68" s="10" t="s">
        <v>100</v>
      </c>
      <c r="C68" s="4">
        <v>23305</v>
      </c>
      <c r="D68" s="4">
        <v>0</v>
      </c>
      <c r="E68" s="4">
        <f t="shared" si="9"/>
        <v>0</v>
      </c>
      <c r="F68" s="4">
        <f t="shared" si="4"/>
        <v>23305</v>
      </c>
      <c r="G68" s="4">
        <v>28587</v>
      </c>
      <c r="H68" s="4">
        <v>0</v>
      </c>
      <c r="I68" s="4">
        <f t="shared" si="5"/>
        <v>0</v>
      </c>
      <c r="J68" s="4">
        <f t="shared" si="6"/>
        <v>28587</v>
      </c>
      <c r="K68" s="203">
        <f>'Розрах. поточ.'!H306</f>
        <v>31906</v>
      </c>
      <c r="L68" s="4">
        <v>0</v>
      </c>
      <c r="M68" s="4">
        <f t="shared" si="7"/>
        <v>0</v>
      </c>
      <c r="N68" s="4">
        <f aca="true" t="shared" si="10" ref="N68:N73">K68+L68</f>
        <v>31906</v>
      </c>
    </row>
    <row r="69" spans="1:14" ht="12.75">
      <c r="A69" s="8" t="s">
        <v>101</v>
      </c>
      <c r="B69" s="10" t="s">
        <v>102</v>
      </c>
      <c r="C69" s="4">
        <v>316272</v>
      </c>
      <c r="D69" s="4">
        <v>0</v>
      </c>
      <c r="E69" s="4">
        <f t="shared" si="9"/>
        <v>0</v>
      </c>
      <c r="F69" s="4">
        <f t="shared" si="4"/>
        <v>316272</v>
      </c>
      <c r="G69" s="4">
        <v>362172</v>
      </c>
      <c r="H69" s="4">
        <v>0</v>
      </c>
      <c r="I69" s="4">
        <f t="shared" si="5"/>
        <v>0</v>
      </c>
      <c r="J69" s="4">
        <f t="shared" si="6"/>
        <v>362172</v>
      </c>
      <c r="K69" s="203">
        <f>'Розрах. поточ.'!H310</f>
        <v>435600</v>
      </c>
      <c r="L69" s="4">
        <v>0</v>
      </c>
      <c r="M69" s="4">
        <f t="shared" si="7"/>
        <v>0</v>
      </c>
      <c r="N69" s="4">
        <f t="shared" si="10"/>
        <v>435600</v>
      </c>
    </row>
    <row r="70" spans="1:14" ht="12.75">
      <c r="A70" s="8" t="s">
        <v>103</v>
      </c>
      <c r="B70" s="10" t="s">
        <v>104</v>
      </c>
      <c r="C70" s="4">
        <v>41293</v>
      </c>
      <c r="D70" s="4">
        <v>0</v>
      </c>
      <c r="E70" s="4">
        <f>D70</f>
        <v>0</v>
      </c>
      <c r="F70" s="4">
        <f>C70+D70</f>
        <v>41293</v>
      </c>
      <c r="G70" s="4">
        <v>64706</v>
      </c>
      <c r="H70" s="4">
        <v>0</v>
      </c>
      <c r="I70" s="4">
        <f>H70</f>
        <v>0</v>
      </c>
      <c r="J70" s="4">
        <f>G70+H70</f>
        <v>64706</v>
      </c>
      <c r="K70" s="204">
        <f>'Розрах. поточ.'!H313</f>
        <v>25059</v>
      </c>
      <c r="L70" s="4">
        <v>0</v>
      </c>
      <c r="M70" s="4">
        <f>L70</f>
        <v>0</v>
      </c>
      <c r="N70" s="4">
        <f t="shared" si="10"/>
        <v>25059</v>
      </c>
    </row>
    <row r="71" spans="1:14" ht="12.75">
      <c r="A71" s="8" t="s">
        <v>505</v>
      </c>
      <c r="B71" s="10" t="s">
        <v>506</v>
      </c>
      <c r="C71" s="4"/>
      <c r="D71" s="4">
        <v>0</v>
      </c>
      <c r="E71" s="4">
        <f t="shared" si="9"/>
        <v>0</v>
      </c>
      <c r="F71" s="4">
        <f t="shared" si="4"/>
        <v>0</v>
      </c>
      <c r="G71" s="4"/>
      <c r="H71" s="4">
        <v>0</v>
      </c>
      <c r="I71" s="4">
        <f t="shared" si="5"/>
        <v>0</v>
      </c>
      <c r="J71" s="4">
        <f t="shared" si="6"/>
        <v>0</v>
      </c>
      <c r="K71" s="204">
        <f>'Розрах. поточ.'!H318</f>
        <v>5234</v>
      </c>
      <c r="L71" s="4">
        <v>0</v>
      </c>
      <c r="M71" s="4">
        <f t="shared" si="7"/>
        <v>0</v>
      </c>
      <c r="N71" s="4">
        <f t="shared" si="10"/>
        <v>5234</v>
      </c>
    </row>
    <row r="72" spans="1:14" ht="52.5">
      <c r="A72" s="8" t="s">
        <v>105</v>
      </c>
      <c r="B72" s="10" t="s">
        <v>106</v>
      </c>
      <c r="C72" s="4">
        <v>8820</v>
      </c>
      <c r="D72" s="4">
        <v>0</v>
      </c>
      <c r="E72" s="4">
        <f t="shared" si="9"/>
        <v>0</v>
      </c>
      <c r="F72" s="4">
        <f t="shared" si="4"/>
        <v>8820</v>
      </c>
      <c r="G72" s="4">
        <v>12800</v>
      </c>
      <c r="H72" s="4">
        <v>0</v>
      </c>
      <c r="I72" s="4">
        <f t="shared" si="5"/>
        <v>0</v>
      </c>
      <c r="J72" s="4">
        <f t="shared" si="6"/>
        <v>12800</v>
      </c>
      <c r="K72" s="203">
        <f>'Розрах. поточ.'!H320</f>
        <v>37696</v>
      </c>
      <c r="L72" s="4">
        <v>0</v>
      </c>
      <c r="M72" s="4">
        <f t="shared" si="7"/>
        <v>0</v>
      </c>
      <c r="N72" s="4">
        <f t="shared" si="10"/>
        <v>37696</v>
      </c>
    </row>
    <row r="73" spans="1:14" ht="12.75">
      <c r="A73" s="8" t="s">
        <v>107</v>
      </c>
      <c r="B73" s="10" t="s">
        <v>108</v>
      </c>
      <c r="C73" s="4">
        <v>156258</v>
      </c>
      <c r="D73" s="4">
        <v>0</v>
      </c>
      <c r="E73" s="4">
        <f t="shared" si="9"/>
        <v>0</v>
      </c>
      <c r="F73" s="4">
        <f t="shared" si="4"/>
        <v>156258</v>
      </c>
      <c r="G73" s="4">
        <f>227376-14892</f>
        <v>212484</v>
      </c>
      <c r="H73" s="4">
        <v>0</v>
      </c>
      <c r="I73" s="4">
        <f t="shared" si="5"/>
        <v>0</v>
      </c>
      <c r="J73" s="4">
        <f t="shared" si="6"/>
        <v>212484</v>
      </c>
      <c r="K73" s="204">
        <f>'Розрах. поточ.'!H327</f>
        <v>194681</v>
      </c>
      <c r="L73" s="4">
        <v>0</v>
      </c>
      <c r="M73" s="4">
        <f t="shared" si="7"/>
        <v>0</v>
      </c>
      <c r="N73" s="4">
        <f t="shared" si="10"/>
        <v>194681</v>
      </c>
    </row>
    <row r="74" spans="1:14" ht="39" hidden="1">
      <c r="A74" s="8" t="s">
        <v>82</v>
      </c>
      <c r="B74" s="4" t="s">
        <v>84</v>
      </c>
      <c r="C74" s="4">
        <f>C77</f>
        <v>0</v>
      </c>
      <c r="D74" s="4">
        <f>D75</f>
        <v>304446</v>
      </c>
      <c r="E74" s="4">
        <f>D74</f>
        <v>304446</v>
      </c>
      <c r="F74" s="4">
        <f>F75</f>
        <v>304446</v>
      </c>
      <c r="G74" s="4">
        <f>G77</f>
        <v>0</v>
      </c>
      <c r="H74" s="4">
        <f>H75+H77</f>
        <v>401200</v>
      </c>
      <c r="I74" s="4">
        <f>H74</f>
        <v>401200</v>
      </c>
      <c r="J74" s="4">
        <f>H74</f>
        <v>401200</v>
      </c>
      <c r="K74" s="4">
        <f>K77</f>
        <v>0</v>
      </c>
      <c r="L74" s="4">
        <f>L77+L75</f>
        <v>517200</v>
      </c>
      <c r="M74" s="4">
        <f>L74</f>
        <v>517200</v>
      </c>
      <c r="N74" s="4">
        <f>M74</f>
        <v>517200</v>
      </c>
    </row>
    <row r="75" spans="1:14" ht="39">
      <c r="A75" s="8" t="s">
        <v>109</v>
      </c>
      <c r="B75" s="10" t="s">
        <v>84</v>
      </c>
      <c r="C75" s="4">
        <v>0</v>
      </c>
      <c r="D75" s="4">
        <v>304446</v>
      </c>
      <c r="E75" s="4">
        <v>0</v>
      </c>
      <c r="F75" s="4">
        <f>C75+D75</f>
        <v>304446</v>
      </c>
      <c r="G75" s="4">
        <v>0</v>
      </c>
      <c r="H75" s="4">
        <v>401200</v>
      </c>
      <c r="I75" s="4">
        <f>H75</f>
        <v>401200</v>
      </c>
      <c r="J75" s="4">
        <f>G75+H75</f>
        <v>401200</v>
      </c>
      <c r="K75" s="4">
        <v>0</v>
      </c>
      <c r="L75" s="204">
        <v>397200</v>
      </c>
      <c r="M75" s="204">
        <f>'Кап.2020'!F8</f>
        <v>397200</v>
      </c>
      <c r="N75" s="204">
        <f>M75</f>
        <v>397200</v>
      </c>
    </row>
    <row r="76" spans="1:14" ht="26.25">
      <c r="A76" s="8" t="s">
        <v>144</v>
      </c>
      <c r="B76" s="10" t="s">
        <v>145</v>
      </c>
      <c r="C76" s="4">
        <v>0</v>
      </c>
      <c r="D76" s="4"/>
      <c r="E76" s="4">
        <v>0</v>
      </c>
      <c r="F76" s="4">
        <f>C76+D76</f>
        <v>0</v>
      </c>
      <c r="G76" s="4">
        <v>0</v>
      </c>
      <c r="H76" s="4">
        <v>100000</v>
      </c>
      <c r="I76" s="4">
        <f>H76</f>
        <v>100000</v>
      </c>
      <c r="J76" s="4">
        <f>G76+H76</f>
        <v>100000</v>
      </c>
      <c r="K76" s="4">
        <v>0</v>
      </c>
      <c r="L76" s="4"/>
      <c r="M76" s="4">
        <f>L76</f>
        <v>0</v>
      </c>
      <c r="N76" s="4">
        <f>K76+L76</f>
        <v>0</v>
      </c>
    </row>
    <row r="77" spans="1:14" ht="26.25">
      <c r="A77" s="8" t="s">
        <v>639</v>
      </c>
      <c r="B77" s="10" t="str">
        <f>'Кап.2020'!B15</f>
        <v>Придбання землі та нематеріальних активів</v>
      </c>
      <c r="C77" s="4">
        <v>0</v>
      </c>
      <c r="D77" s="4"/>
      <c r="E77" s="4">
        <v>0</v>
      </c>
      <c r="F77" s="4">
        <f>C77+D77</f>
        <v>0</v>
      </c>
      <c r="G77" s="4">
        <v>0</v>
      </c>
      <c r="H77" s="4"/>
      <c r="I77" s="4">
        <v>0</v>
      </c>
      <c r="J77" s="4">
        <f>G77+H77</f>
        <v>0</v>
      </c>
      <c r="K77" s="4">
        <v>0</v>
      </c>
      <c r="L77" s="4">
        <v>120000</v>
      </c>
      <c r="M77" s="204">
        <f>'Кап.2020'!F15</f>
        <v>120000</v>
      </c>
      <c r="N77" s="204">
        <f>M77</f>
        <v>120000</v>
      </c>
    </row>
    <row r="78" spans="1:14" ht="12.75">
      <c r="A78" s="5" t="s">
        <v>18</v>
      </c>
      <c r="B78" s="6" t="s">
        <v>23</v>
      </c>
      <c r="C78" s="6">
        <f>C60</f>
        <v>34777110</v>
      </c>
      <c r="D78" s="6">
        <f>D60</f>
        <v>304446</v>
      </c>
      <c r="E78" s="6">
        <f>D78</f>
        <v>304446</v>
      </c>
      <c r="F78" s="6">
        <f>F60</f>
        <v>35081556</v>
      </c>
      <c r="G78" s="6">
        <f>G60</f>
        <v>48572508</v>
      </c>
      <c r="H78" s="6">
        <f>H75+H76</f>
        <v>501200</v>
      </c>
      <c r="I78" s="6">
        <f>I75+I76</f>
        <v>501200</v>
      </c>
      <c r="J78" s="6">
        <f>SUM(J62:J77)</f>
        <v>49474908</v>
      </c>
      <c r="K78" s="6">
        <f>K60</f>
        <v>57331600</v>
      </c>
      <c r="L78" s="6">
        <f>L74</f>
        <v>517200</v>
      </c>
      <c r="M78" s="6">
        <f>M74</f>
        <v>517200</v>
      </c>
      <c r="N78" s="6">
        <f>SUM(N62:N77)</f>
        <v>58366000</v>
      </c>
    </row>
    <row r="79" ht="13.5" customHeight="1"/>
    <row r="80" spans="1:14" ht="13.5" customHeight="1">
      <c r="A80" s="433" t="s">
        <v>642</v>
      </c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433"/>
    </row>
    <row r="81" ht="12.75">
      <c r="A81" s="3" t="s">
        <v>9</v>
      </c>
    </row>
    <row r="83" spans="1:14" ht="58.5" customHeight="1">
      <c r="A83" s="431" t="s">
        <v>28</v>
      </c>
      <c r="B83" s="431" t="s">
        <v>11</v>
      </c>
      <c r="C83" s="431" t="s">
        <v>500</v>
      </c>
      <c r="D83" s="431"/>
      <c r="E83" s="431"/>
      <c r="F83" s="431"/>
      <c r="G83" s="431" t="s">
        <v>501</v>
      </c>
      <c r="H83" s="431"/>
      <c r="I83" s="431"/>
      <c r="J83" s="431"/>
      <c r="K83" s="431" t="s">
        <v>502</v>
      </c>
      <c r="L83" s="431"/>
      <c r="M83" s="431"/>
      <c r="N83" s="431"/>
    </row>
    <row r="84" spans="1:14" ht="52.5">
      <c r="A84" s="431"/>
      <c r="B84" s="431"/>
      <c r="C84" s="4" t="s">
        <v>12</v>
      </c>
      <c r="D84" s="4" t="s">
        <v>13</v>
      </c>
      <c r="E84" s="4" t="s">
        <v>14</v>
      </c>
      <c r="F84" s="4" t="s">
        <v>15</v>
      </c>
      <c r="G84" s="4" t="s">
        <v>12</v>
      </c>
      <c r="H84" s="4" t="s">
        <v>13</v>
      </c>
      <c r="I84" s="4" t="s">
        <v>14</v>
      </c>
      <c r="J84" s="4" t="s">
        <v>16</v>
      </c>
      <c r="K84" s="4" t="s">
        <v>12</v>
      </c>
      <c r="L84" s="4" t="s">
        <v>13</v>
      </c>
      <c r="M84" s="4" t="s">
        <v>14</v>
      </c>
      <c r="N84" s="4" t="s">
        <v>17</v>
      </c>
    </row>
    <row r="85" spans="1:14" ht="12.75">
      <c r="A85" s="4">
        <v>1</v>
      </c>
      <c r="B85" s="4">
        <v>2</v>
      </c>
      <c r="C85" s="4">
        <v>3</v>
      </c>
      <c r="D85" s="4">
        <v>4</v>
      </c>
      <c r="E85" s="4">
        <v>5</v>
      </c>
      <c r="F85" s="4">
        <v>6</v>
      </c>
      <c r="G85" s="4">
        <v>7</v>
      </c>
      <c r="H85" s="4">
        <v>8</v>
      </c>
      <c r="I85" s="4">
        <v>9</v>
      </c>
      <c r="J85" s="4">
        <v>10</v>
      </c>
      <c r="K85" s="4">
        <v>11</v>
      </c>
      <c r="L85" s="4">
        <v>12</v>
      </c>
      <c r="M85" s="4">
        <v>13</v>
      </c>
      <c r="N85" s="4">
        <v>14</v>
      </c>
    </row>
    <row r="86" spans="1:14" ht="12.75">
      <c r="A86" s="4" t="s">
        <v>18</v>
      </c>
      <c r="B86" s="4" t="s">
        <v>23</v>
      </c>
      <c r="C86" s="4" t="s">
        <v>18</v>
      </c>
      <c r="D86" s="4" t="s">
        <v>18</v>
      </c>
      <c r="E86" s="4" t="s">
        <v>18</v>
      </c>
      <c r="F86" s="4" t="s">
        <v>18</v>
      </c>
      <c r="G86" s="4" t="s">
        <v>18</v>
      </c>
      <c r="H86" s="4" t="s">
        <v>18</v>
      </c>
      <c r="I86" s="4" t="s">
        <v>18</v>
      </c>
      <c r="J86" s="4" t="s">
        <v>18</v>
      </c>
      <c r="K86" s="4" t="s">
        <v>18</v>
      </c>
      <c r="L86" s="4" t="s">
        <v>18</v>
      </c>
      <c r="M86" s="4" t="s">
        <v>18</v>
      </c>
      <c r="N86" s="4" t="s">
        <v>18</v>
      </c>
    </row>
    <row r="88" spans="1:10" ht="12.75">
      <c r="A88" s="433" t="s">
        <v>29</v>
      </c>
      <c r="B88" s="433"/>
      <c r="C88" s="433"/>
      <c r="D88" s="433"/>
      <c r="E88" s="433"/>
      <c r="F88" s="433"/>
      <c r="G88" s="433"/>
      <c r="H88" s="433"/>
      <c r="I88" s="433"/>
      <c r="J88" s="433"/>
    </row>
    <row r="89" ht="12.75">
      <c r="A89" s="3" t="s">
        <v>9</v>
      </c>
    </row>
    <row r="91" spans="1:10" ht="60.75" customHeight="1">
      <c r="A91" s="431" t="s">
        <v>10</v>
      </c>
      <c r="B91" s="431" t="s">
        <v>11</v>
      </c>
      <c r="C91" s="431" t="s">
        <v>25</v>
      </c>
      <c r="D91" s="431"/>
      <c r="E91" s="431"/>
      <c r="F91" s="431"/>
      <c r="G91" s="431" t="s">
        <v>503</v>
      </c>
      <c r="H91" s="431"/>
      <c r="I91" s="431"/>
      <c r="J91" s="431"/>
    </row>
    <row r="92" spans="1:10" ht="39">
      <c r="A92" s="431"/>
      <c r="B92" s="431"/>
      <c r="C92" s="4" t="s">
        <v>12</v>
      </c>
      <c r="D92" s="4" t="s">
        <v>13</v>
      </c>
      <c r="E92" s="4" t="s">
        <v>14</v>
      </c>
      <c r="F92" s="4" t="s">
        <v>15</v>
      </c>
      <c r="G92" s="4" t="s">
        <v>12</v>
      </c>
      <c r="H92" s="4" t="s">
        <v>13</v>
      </c>
      <c r="I92" s="4" t="s">
        <v>14</v>
      </c>
      <c r="J92" s="4" t="s">
        <v>16</v>
      </c>
    </row>
    <row r="93" spans="1:10" ht="12.75">
      <c r="A93" s="4">
        <v>1</v>
      </c>
      <c r="B93" s="4">
        <v>2</v>
      </c>
      <c r="C93" s="4">
        <v>3</v>
      </c>
      <c r="D93" s="4">
        <v>4</v>
      </c>
      <c r="E93" s="4">
        <v>5</v>
      </c>
      <c r="F93" s="4">
        <v>6</v>
      </c>
      <c r="G93" s="4">
        <v>7</v>
      </c>
      <c r="H93" s="4">
        <v>8</v>
      </c>
      <c r="I93" s="4">
        <v>9</v>
      </c>
      <c r="J93" s="4">
        <v>10</v>
      </c>
    </row>
    <row r="94" spans="1:10" ht="66" hidden="1">
      <c r="A94" s="5" t="s">
        <v>82</v>
      </c>
      <c r="B94" s="6" t="s">
        <v>85</v>
      </c>
      <c r="C94" s="6">
        <f>C95</f>
        <v>59605769</v>
      </c>
      <c r="D94" s="6" t="e">
        <f>D95+#REF!</f>
        <v>#REF!</v>
      </c>
      <c r="E94" s="6">
        <f>E95</f>
        <v>0</v>
      </c>
      <c r="F94" s="6" t="e">
        <f>C94+D94</f>
        <v>#REF!</v>
      </c>
      <c r="G94" s="6">
        <f>G95</f>
        <v>61872036</v>
      </c>
      <c r="H94" s="6" t="e">
        <f>H95+#REF!</f>
        <v>#REF!</v>
      </c>
      <c r="I94" s="6">
        <f>I95</f>
        <v>0</v>
      </c>
      <c r="J94" s="6" t="e">
        <f>G94+H94</f>
        <v>#REF!</v>
      </c>
    </row>
    <row r="95" spans="1:10" ht="66" hidden="1">
      <c r="A95" s="8" t="s">
        <v>82</v>
      </c>
      <c r="B95" s="4" t="s">
        <v>85</v>
      </c>
      <c r="C95" s="4">
        <f aca="true" t="shared" si="11" ref="C95:J95">SUM(C96:C107)</f>
        <v>59605769</v>
      </c>
      <c r="D95" s="4">
        <f t="shared" si="11"/>
        <v>0</v>
      </c>
      <c r="E95" s="4">
        <f t="shared" si="11"/>
        <v>0</v>
      </c>
      <c r="F95" s="4">
        <f t="shared" si="11"/>
        <v>59605769</v>
      </c>
      <c r="G95" s="4">
        <f t="shared" si="11"/>
        <v>61872036</v>
      </c>
      <c r="H95" s="4">
        <f t="shared" si="11"/>
        <v>0</v>
      </c>
      <c r="I95" s="4">
        <f t="shared" si="11"/>
        <v>0</v>
      </c>
      <c r="J95" s="4">
        <f t="shared" si="11"/>
        <v>61872036</v>
      </c>
    </row>
    <row r="96" spans="1:10" ht="12.75">
      <c r="A96" s="8" t="s">
        <v>87</v>
      </c>
      <c r="B96" s="10" t="s">
        <v>88</v>
      </c>
      <c r="C96" s="203">
        <f>'Розрах. поточ.'!I62</f>
        <v>44603192</v>
      </c>
      <c r="D96" s="4">
        <v>0</v>
      </c>
      <c r="E96" s="4">
        <v>0</v>
      </c>
      <c r="F96" s="4">
        <f aca="true" t="shared" si="12" ref="F96:F107">C96+D96</f>
        <v>44603192</v>
      </c>
      <c r="G96" s="203">
        <f>'Розрах. поточ.'!K7</f>
        <v>44731259</v>
      </c>
      <c r="H96" s="4">
        <v>0</v>
      </c>
      <c r="I96" s="4">
        <f aca="true" t="shared" si="13" ref="I96:I107">H96</f>
        <v>0</v>
      </c>
      <c r="J96" s="4">
        <f aca="true" t="shared" si="14" ref="J96:J107">G96+H96</f>
        <v>44731259</v>
      </c>
    </row>
    <row r="97" spans="1:10" ht="26.25">
      <c r="A97" s="8" t="s">
        <v>89</v>
      </c>
      <c r="B97" s="10" t="s">
        <v>90</v>
      </c>
      <c r="C97" s="204">
        <f>'Розрах. поточ.'!I63</f>
        <v>9950658</v>
      </c>
      <c r="D97" s="4"/>
      <c r="E97" s="4"/>
      <c r="F97" s="4">
        <f t="shared" si="12"/>
        <v>9950658</v>
      </c>
      <c r="G97" s="204">
        <f>'Розрах. поточ.'!K63</f>
        <v>9978833</v>
      </c>
      <c r="H97" s="4">
        <v>0</v>
      </c>
      <c r="I97" s="4">
        <f t="shared" si="13"/>
        <v>0</v>
      </c>
      <c r="J97" s="4">
        <f t="shared" si="14"/>
        <v>9978833</v>
      </c>
    </row>
    <row r="98" spans="1:10" ht="26.25">
      <c r="A98" s="8" t="s">
        <v>91</v>
      </c>
      <c r="B98" s="10" t="s">
        <v>92</v>
      </c>
      <c r="C98" s="204">
        <f>'Розрах. поточ.'!J70</f>
        <v>1562514</v>
      </c>
      <c r="D98" s="4">
        <v>0</v>
      </c>
      <c r="E98" s="4">
        <f aca="true" t="shared" si="15" ref="E98:E107">D98</f>
        <v>0</v>
      </c>
      <c r="F98" s="4">
        <f t="shared" si="12"/>
        <v>1562514</v>
      </c>
      <c r="G98" s="204">
        <f>'Розрах. поточ.'!L70</f>
        <v>2827069</v>
      </c>
      <c r="H98" s="4">
        <v>0</v>
      </c>
      <c r="I98" s="4">
        <f t="shared" si="13"/>
        <v>0</v>
      </c>
      <c r="J98" s="4">
        <f t="shared" si="14"/>
        <v>2827069</v>
      </c>
    </row>
    <row r="99" spans="1:10" ht="26.25">
      <c r="A99" s="8" t="s">
        <v>93</v>
      </c>
      <c r="B99" s="10" t="s">
        <v>94</v>
      </c>
      <c r="C99" s="204">
        <f>'Розрах. поточ.'!J239</f>
        <v>2128185</v>
      </c>
      <c r="D99" s="4">
        <v>0</v>
      </c>
      <c r="E99" s="4">
        <f t="shared" si="15"/>
        <v>0</v>
      </c>
      <c r="F99" s="4">
        <f t="shared" si="12"/>
        <v>2128185</v>
      </c>
      <c r="G99" s="204">
        <f>'Розрах. поточ.'!L239</f>
        <v>2813995</v>
      </c>
      <c r="H99" s="4">
        <v>0</v>
      </c>
      <c r="I99" s="4">
        <f t="shared" si="13"/>
        <v>0</v>
      </c>
      <c r="J99" s="4">
        <f t="shared" si="14"/>
        <v>2813995</v>
      </c>
    </row>
    <row r="100" spans="1:10" ht="12.75">
      <c r="A100" s="8" t="s">
        <v>95</v>
      </c>
      <c r="B100" s="15" t="s">
        <v>96</v>
      </c>
      <c r="C100" s="203">
        <f>'Розрах. поточ.'!J297</f>
        <v>30464</v>
      </c>
      <c r="D100" s="4">
        <v>0</v>
      </c>
      <c r="E100" s="4">
        <f t="shared" si="15"/>
        <v>0</v>
      </c>
      <c r="F100" s="4">
        <f t="shared" si="12"/>
        <v>30464</v>
      </c>
      <c r="G100" s="203">
        <f>'Розрах. поточ.'!L297</f>
        <v>119666</v>
      </c>
      <c r="H100" s="4">
        <v>0</v>
      </c>
      <c r="I100" s="4">
        <f t="shared" si="13"/>
        <v>0</v>
      </c>
      <c r="J100" s="4">
        <f t="shared" si="14"/>
        <v>119666</v>
      </c>
    </row>
    <row r="101" spans="1:10" ht="12.75">
      <c r="A101" s="8" t="s">
        <v>97</v>
      </c>
      <c r="B101" s="10" t="s">
        <v>98</v>
      </c>
      <c r="C101" s="204">
        <f>'Розрах. поточ.'!J301</f>
        <v>365425</v>
      </c>
      <c r="D101" s="4">
        <v>0</v>
      </c>
      <c r="E101" s="4">
        <f t="shared" si="15"/>
        <v>0</v>
      </c>
      <c r="F101" s="4">
        <f t="shared" si="12"/>
        <v>365425</v>
      </c>
      <c r="G101" s="204">
        <f>'Розрах. поточ.'!L301</f>
        <v>387716</v>
      </c>
      <c r="H101" s="4">
        <v>0</v>
      </c>
      <c r="I101" s="4">
        <f t="shared" si="13"/>
        <v>0</v>
      </c>
      <c r="J101" s="4">
        <f t="shared" si="14"/>
        <v>387716</v>
      </c>
    </row>
    <row r="102" spans="1:10" ht="26.25">
      <c r="A102" s="8" t="s">
        <v>99</v>
      </c>
      <c r="B102" s="10" t="s">
        <v>100</v>
      </c>
      <c r="C102" s="203">
        <f>'Розрах. поточ.'!J306</f>
        <v>34458</v>
      </c>
      <c r="D102" s="4">
        <v>0</v>
      </c>
      <c r="E102" s="4">
        <f t="shared" si="15"/>
        <v>0</v>
      </c>
      <c r="F102" s="4">
        <f t="shared" si="12"/>
        <v>34458</v>
      </c>
      <c r="G102" s="203">
        <f>'Розрах. поточ.'!L306</f>
        <v>36560</v>
      </c>
      <c r="H102" s="4">
        <v>0</v>
      </c>
      <c r="I102" s="4">
        <f t="shared" si="13"/>
        <v>0</v>
      </c>
      <c r="J102" s="4">
        <f t="shared" si="14"/>
        <v>36560</v>
      </c>
    </row>
    <row r="103" spans="1:10" ht="12.75">
      <c r="A103" s="8" t="s">
        <v>101</v>
      </c>
      <c r="B103" s="10" t="s">
        <v>102</v>
      </c>
      <c r="C103" s="204">
        <f>'Розрах. поточ.'!J310</f>
        <v>470448</v>
      </c>
      <c r="D103" s="4">
        <v>0</v>
      </c>
      <c r="E103" s="4">
        <f t="shared" si="15"/>
        <v>0</v>
      </c>
      <c r="F103" s="4">
        <f t="shared" si="12"/>
        <v>470448</v>
      </c>
      <c r="G103" s="204">
        <f>'Розрах. поточ.'!L310</f>
        <v>499145</v>
      </c>
      <c r="H103" s="4">
        <v>0</v>
      </c>
      <c r="I103" s="4">
        <f t="shared" si="13"/>
        <v>0</v>
      </c>
      <c r="J103" s="4">
        <f t="shared" si="14"/>
        <v>499145</v>
      </c>
    </row>
    <row r="104" spans="1:10" ht="12.75">
      <c r="A104" s="8" t="s">
        <v>103</v>
      </c>
      <c r="B104" s="10" t="s">
        <v>104</v>
      </c>
      <c r="C104" s="204">
        <f>'Розрах. поточ.'!J313</f>
        <v>27064</v>
      </c>
      <c r="D104" s="4">
        <v>0</v>
      </c>
      <c r="E104" s="4">
        <f t="shared" si="15"/>
        <v>0</v>
      </c>
      <c r="F104" s="4">
        <f t="shared" si="12"/>
        <v>27064</v>
      </c>
      <c r="G104" s="204">
        <f>'Розрах. поточ.'!L313</f>
        <v>28715</v>
      </c>
      <c r="H104" s="4">
        <v>0</v>
      </c>
      <c r="I104" s="4">
        <f t="shared" si="13"/>
        <v>0</v>
      </c>
      <c r="J104" s="4">
        <f t="shared" si="14"/>
        <v>28715</v>
      </c>
    </row>
    <row r="105" spans="1:10" ht="12.75">
      <c r="A105" s="8" t="s">
        <v>505</v>
      </c>
      <c r="B105" s="10" t="s">
        <v>506</v>
      </c>
      <c r="C105" s="204">
        <f>'Розрах. поточ.'!J318</f>
        <v>5653</v>
      </c>
      <c r="D105" s="4">
        <v>0</v>
      </c>
      <c r="E105" s="4">
        <f t="shared" si="15"/>
        <v>0</v>
      </c>
      <c r="F105" s="4">
        <f t="shared" si="12"/>
        <v>5653</v>
      </c>
      <c r="G105" s="204">
        <f>'Розрах. поточ.'!L318</f>
        <v>5998</v>
      </c>
      <c r="H105" s="4">
        <v>0</v>
      </c>
      <c r="I105" s="4">
        <f t="shared" si="13"/>
        <v>0</v>
      </c>
      <c r="J105" s="4">
        <f t="shared" si="14"/>
        <v>5998</v>
      </c>
    </row>
    <row r="106" spans="1:10" ht="52.5">
      <c r="A106" s="8" t="s">
        <v>105</v>
      </c>
      <c r="B106" s="10" t="s">
        <v>106</v>
      </c>
      <c r="C106" s="203">
        <f>'Розрах. поточ.'!J320</f>
        <v>26445</v>
      </c>
      <c r="D106" s="4">
        <v>0</v>
      </c>
      <c r="E106" s="4">
        <f t="shared" si="15"/>
        <v>0</v>
      </c>
      <c r="F106" s="4">
        <f t="shared" si="12"/>
        <v>26445</v>
      </c>
      <c r="G106" s="203">
        <f>'Розрах. поточ.'!L320</f>
        <v>27793</v>
      </c>
      <c r="H106" s="4">
        <v>0</v>
      </c>
      <c r="I106" s="4">
        <f t="shared" si="13"/>
        <v>0</v>
      </c>
      <c r="J106" s="4">
        <f t="shared" si="14"/>
        <v>27793</v>
      </c>
    </row>
    <row r="107" spans="1:10" ht="12.75">
      <c r="A107" s="8" t="s">
        <v>107</v>
      </c>
      <c r="B107" s="10" t="s">
        <v>108</v>
      </c>
      <c r="C107" s="204">
        <f>'Розрах. поточ.'!J327</f>
        <v>401263</v>
      </c>
      <c r="D107" s="4">
        <v>0</v>
      </c>
      <c r="E107" s="4">
        <f t="shared" si="15"/>
        <v>0</v>
      </c>
      <c r="F107" s="4">
        <f t="shared" si="12"/>
        <v>401263</v>
      </c>
      <c r="G107" s="204">
        <f>'Розрах. поточ.'!L327</f>
        <v>415287</v>
      </c>
      <c r="H107" s="4">
        <v>0</v>
      </c>
      <c r="I107" s="4">
        <f t="shared" si="13"/>
        <v>0</v>
      </c>
      <c r="J107" s="4">
        <f t="shared" si="14"/>
        <v>415287</v>
      </c>
    </row>
    <row r="108" spans="1:10" ht="39">
      <c r="A108" s="8" t="s">
        <v>109</v>
      </c>
      <c r="B108" s="10" t="s">
        <v>84</v>
      </c>
      <c r="C108" s="4">
        <v>0</v>
      </c>
      <c r="D108" s="204">
        <f>D48</f>
        <v>544600</v>
      </c>
      <c r="E108" s="204">
        <f>D108</f>
        <v>544600</v>
      </c>
      <c r="F108" s="4">
        <f>C108+D108</f>
        <v>544600</v>
      </c>
      <c r="G108" s="4">
        <v>0</v>
      </c>
      <c r="H108" s="204">
        <f>'Кап.2022'!F14</f>
        <v>572400</v>
      </c>
      <c r="I108" s="4">
        <f>H108</f>
        <v>572400</v>
      </c>
      <c r="J108" s="4">
        <f>G108+H108</f>
        <v>572400</v>
      </c>
    </row>
    <row r="109" spans="1:10" ht="26.25">
      <c r="A109" s="8" t="s">
        <v>639</v>
      </c>
      <c r="B109" s="10" t="str">
        <f>'Кап.2020'!B15</f>
        <v>Придбання землі та нематеріальних активів</v>
      </c>
      <c r="C109" s="4">
        <v>0</v>
      </c>
      <c r="D109" s="204">
        <f>'Кап.2021'!F15</f>
        <v>0</v>
      </c>
      <c r="E109" s="4">
        <f>D109</f>
        <v>0</v>
      </c>
      <c r="F109" s="4">
        <f>C109+D109</f>
        <v>0</v>
      </c>
      <c r="G109" s="4">
        <v>0</v>
      </c>
      <c r="H109" s="204"/>
      <c r="I109" s="4">
        <f>H109</f>
        <v>0</v>
      </c>
      <c r="J109" s="4">
        <f>G109+H109</f>
        <v>0</v>
      </c>
    </row>
    <row r="110" spans="1:10" ht="12.75">
      <c r="A110" s="12" t="s">
        <v>18</v>
      </c>
      <c r="B110" s="6" t="s">
        <v>23</v>
      </c>
      <c r="C110" s="6">
        <f>C94</f>
        <v>59605769</v>
      </c>
      <c r="D110" s="368">
        <f>SUM(D108:D109)</f>
        <v>544600</v>
      </c>
      <c r="E110" s="368">
        <f>SUM(E108:E109)</f>
        <v>544600</v>
      </c>
      <c r="F110" s="6">
        <f>SUM(F96:F109)</f>
        <v>60150369</v>
      </c>
      <c r="G110" s="6">
        <f>G94</f>
        <v>61872036</v>
      </c>
      <c r="H110" s="368">
        <f>H108</f>
        <v>572400</v>
      </c>
      <c r="I110" s="6">
        <f>I108</f>
        <v>572400</v>
      </c>
      <c r="J110" s="6">
        <f>SUM(J96:J109)</f>
        <v>62444436</v>
      </c>
    </row>
    <row r="113" spans="1:10" ht="12.75">
      <c r="A113" s="433" t="s">
        <v>508</v>
      </c>
      <c r="B113" s="433"/>
      <c r="C113" s="433"/>
      <c r="D113" s="433"/>
      <c r="E113" s="433"/>
      <c r="F113" s="433"/>
      <c r="G113" s="433"/>
      <c r="H113" s="433"/>
      <c r="I113" s="433"/>
      <c r="J113" s="433"/>
    </row>
    <row r="114" spans="1:10" ht="12.75">
      <c r="A114" s="444" t="s">
        <v>9</v>
      </c>
      <c r="B114" s="444"/>
      <c r="C114" s="444"/>
      <c r="D114" s="444"/>
      <c r="E114" s="444"/>
      <c r="F114" s="444"/>
      <c r="G114" s="444"/>
      <c r="H114" s="444"/>
      <c r="I114" s="444"/>
      <c r="J114" s="444"/>
    </row>
    <row r="116" spans="1:10" ht="12.75">
      <c r="A116" s="431" t="s">
        <v>28</v>
      </c>
      <c r="B116" s="431" t="s">
        <v>11</v>
      </c>
      <c r="C116" s="431" t="s">
        <v>24</v>
      </c>
      <c r="D116" s="431"/>
      <c r="E116" s="431"/>
      <c r="F116" s="431"/>
      <c r="G116" s="431" t="s">
        <v>25</v>
      </c>
      <c r="H116" s="431"/>
      <c r="I116" s="431"/>
      <c r="J116" s="431"/>
    </row>
    <row r="117" spans="1:10" ht="39">
      <c r="A117" s="431"/>
      <c r="B117" s="431"/>
      <c r="C117" s="4" t="s">
        <v>12</v>
      </c>
      <c r="D117" s="4" t="s">
        <v>13</v>
      </c>
      <c r="E117" s="4" t="s">
        <v>14</v>
      </c>
      <c r="F117" s="4" t="s">
        <v>15</v>
      </c>
      <c r="G117" s="4" t="s">
        <v>12</v>
      </c>
      <c r="H117" s="4" t="s">
        <v>13</v>
      </c>
      <c r="I117" s="4" t="s">
        <v>14</v>
      </c>
      <c r="J117" s="4" t="s">
        <v>16</v>
      </c>
    </row>
    <row r="118" spans="1:10" ht="12.75">
      <c r="A118" s="4">
        <v>1</v>
      </c>
      <c r="B118" s="4">
        <v>2</v>
      </c>
      <c r="C118" s="4">
        <v>3</v>
      </c>
      <c r="D118" s="4">
        <v>4</v>
      </c>
      <c r="E118" s="4">
        <v>5</v>
      </c>
      <c r="F118" s="4">
        <v>6</v>
      </c>
      <c r="G118" s="4">
        <v>7</v>
      </c>
      <c r="H118" s="4">
        <v>8</v>
      </c>
      <c r="I118" s="4">
        <v>9</v>
      </c>
      <c r="J118" s="4">
        <v>10</v>
      </c>
    </row>
    <row r="119" spans="1:10" ht="13.5" customHeight="1">
      <c r="A119" s="4" t="s">
        <v>18</v>
      </c>
      <c r="B119" s="4" t="s">
        <v>23</v>
      </c>
      <c r="C119" s="4" t="s">
        <v>18</v>
      </c>
      <c r="D119" s="4" t="s">
        <v>18</v>
      </c>
      <c r="E119" s="4" t="s">
        <v>18</v>
      </c>
      <c r="F119" s="4" t="s">
        <v>18</v>
      </c>
      <c r="G119" s="4" t="s">
        <v>18</v>
      </c>
      <c r="H119" s="4" t="s">
        <v>18</v>
      </c>
      <c r="I119" s="4" t="s">
        <v>18</v>
      </c>
      <c r="J119" s="4" t="s">
        <v>18</v>
      </c>
    </row>
    <row r="120" spans="11:14" ht="13.5" customHeight="1">
      <c r="K120" s="20"/>
      <c r="L120" s="20"/>
      <c r="M120" s="20"/>
      <c r="N120" s="20"/>
    </row>
    <row r="121" spans="1:14" ht="13.5" customHeight="1">
      <c r="A121" s="20" t="s">
        <v>30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1:14" ht="12.75">
      <c r="A122" s="433" t="s">
        <v>509</v>
      </c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</row>
    <row r="123" spans="1:14" ht="12.75">
      <c r="A123" s="444" t="s">
        <v>9</v>
      </c>
      <c r="B123" s="444"/>
      <c r="C123" s="444"/>
      <c r="D123" s="444"/>
      <c r="E123" s="444"/>
      <c r="F123" s="444"/>
      <c r="G123" s="444"/>
      <c r="H123" s="444"/>
      <c r="I123" s="444"/>
      <c r="J123" s="444"/>
      <c r="K123" s="444"/>
      <c r="L123" s="444"/>
      <c r="M123" s="444"/>
      <c r="N123" s="444"/>
    </row>
    <row r="124" spans="1:10" ht="14.25" customHeight="1">
      <c r="A124" s="219"/>
      <c r="B124" s="219"/>
      <c r="C124" s="219"/>
      <c r="D124" s="219"/>
      <c r="E124" s="219"/>
      <c r="F124" s="219"/>
      <c r="G124" s="255"/>
      <c r="H124" s="256"/>
      <c r="I124" s="256"/>
      <c r="J124" s="256"/>
    </row>
    <row r="125" spans="1:14" ht="12.75">
      <c r="A125" s="437" t="s">
        <v>31</v>
      </c>
      <c r="B125" s="439" t="s">
        <v>32</v>
      </c>
      <c r="C125" s="441" t="s">
        <v>500</v>
      </c>
      <c r="D125" s="442"/>
      <c r="E125" s="442"/>
      <c r="F125" s="443"/>
      <c r="G125" s="441" t="s">
        <v>501</v>
      </c>
      <c r="H125" s="442"/>
      <c r="I125" s="442"/>
      <c r="J125" s="443"/>
      <c r="K125" s="443" t="s">
        <v>502</v>
      </c>
      <c r="L125" s="431"/>
      <c r="M125" s="431"/>
      <c r="N125" s="431"/>
    </row>
    <row r="126" spans="1:14" ht="52.5">
      <c r="A126" s="438"/>
      <c r="B126" s="440"/>
      <c r="C126" s="220" t="s">
        <v>12</v>
      </c>
      <c r="D126" s="34" t="s">
        <v>13</v>
      </c>
      <c r="E126" s="34" t="s">
        <v>14</v>
      </c>
      <c r="F126" s="34" t="s">
        <v>15</v>
      </c>
      <c r="G126" s="34" t="s">
        <v>12</v>
      </c>
      <c r="H126" s="34" t="s">
        <v>13</v>
      </c>
      <c r="I126" s="34" t="s">
        <v>14</v>
      </c>
      <c r="J126" s="34" t="s">
        <v>16</v>
      </c>
      <c r="K126" s="33" t="s">
        <v>12</v>
      </c>
      <c r="L126" s="4" t="s">
        <v>13</v>
      </c>
      <c r="M126" s="4" t="s">
        <v>14</v>
      </c>
      <c r="N126" s="4" t="s">
        <v>17</v>
      </c>
    </row>
    <row r="127" spans="1:14" ht="12.75">
      <c r="A127" s="34">
        <v>1</v>
      </c>
      <c r="B127" s="34">
        <v>2</v>
      </c>
      <c r="C127" s="4">
        <v>3</v>
      </c>
      <c r="D127" s="4">
        <v>4</v>
      </c>
      <c r="E127" s="4">
        <v>5</v>
      </c>
      <c r="F127" s="4">
        <v>6</v>
      </c>
      <c r="G127" s="4">
        <v>7</v>
      </c>
      <c r="H127" s="4">
        <v>8</v>
      </c>
      <c r="I127" s="4">
        <v>9</v>
      </c>
      <c r="J127" s="4">
        <v>10</v>
      </c>
      <c r="K127" s="4">
        <v>11</v>
      </c>
      <c r="L127" s="4">
        <v>12</v>
      </c>
      <c r="M127" s="4">
        <v>13</v>
      </c>
      <c r="N127" s="4">
        <v>14</v>
      </c>
    </row>
    <row r="128" spans="1:14" ht="66" hidden="1">
      <c r="A128" s="8" t="str">
        <f>A95</f>
        <v>0810160</v>
      </c>
      <c r="B128" s="10" t="str">
        <f>B94</f>
        <v>Керівництво і управління у відповідній сфері у містах (місті Києві), селищах, селах, об'єднаних територіальних громадах</v>
      </c>
      <c r="C128" s="10">
        <f aca="true" t="shared" si="16" ref="C128:N128">SUM(C129:C133)</f>
        <v>34777110</v>
      </c>
      <c r="D128" s="10">
        <f t="shared" si="16"/>
        <v>304446</v>
      </c>
      <c r="E128" s="10">
        <f t="shared" si="16"/>
        <v>304446</v>
      </c>
      <c r="F128" s="10">
        <f t="shared" si="16"/>
        <v>35081556</v>
      </c>
      <c r="G128" s="10">
        <f t="shared" si="16"/>
        <v>48572508</v>
      </c>
      <c r="H128" s="10">
        <f t="shared" si="16"/>
        <v>501200</v>
      </c>
      <c r="I128" s="10">
        <f t="shared" si="16"/>
        <v>501200</v>
      </c>
      <c r="J128" s="10">
        <f t="shared" si="16"/>
        <v>49073708</v>
      </c>
      <c r="K128" s="10">
        <f t="shared" si="16"/>
        <v>57331600</v>
      </c>
      <c r="L128" s="10">
        <f t="shared" si="16"/>
        <v>517200</v>
      </c>
      <c r="M128" s="10">
        <f t="shared" si="16"/>
        <v>517200</v>
      </c>
      <c r="N128" s="10">
        <f t="shared" si="16"/>
        <v>57848800</v>
      </c>
    </row>
    <row r="129" spans="1:14" s="372" customFormat="1" ht="52.5">
      <c r="A129" s="369" t="s">
        <v>110</v>
      </c>
      <c r="B129" s="370" t="s">
        <v>83</v>
      </c>
      <c r="C129" s="371">
        <f>C61</f>
        <v>34777110</v>
      </c>
      <c r="D129" s="371">
        <v>0</v>
      </c>
      <c r="E129" s="371">
        <v>0</v>
      </c>
      <c r="F129" s="371">
        <f>C129+D129</f>
        <v>34777110</v>
      </c>
      <c r="G129" s="370">
        <f>G61</f>
        <v>48572508</v>
      </c>
      <c r="H129" s="370">
        <v>0</v>
      </c>
      <c r="I129" s="370">
        <f>H129</f>
        <v>0</v>
      </c>
      <c r="J129" s="370">
        <f>G129+H129</f>
        <v>48572508</v>
      </c>
      <c r="K129" s="370">
        <f>K78</f>
        <v>57331600</v>
      </c>
      <c r="L129" s="370">
        <v>0</v>
      </c>
      <c r="M129" s="370">
        <v>0</v>
      </c>
      <c r="N129" s="370">
        <f>K129</f>
        <v>57331600</v>
      </c>
    </row>
    <row r="130" spans="1:14" s="372" customFormat="1" ht="39">
      <c r="A130" s="369" t="s">
        <v>111</v>
      </c>
      <c r="B130" s="370" t="s">
        <v>84</v>
      </c>
      <c r="C130" s="371">
        <v>0</v>
      </c>
      <c r="D130" s="371">
        <f>D75</f>
        <v>304446</v>
      </c>
      <c r="E130" s="371">
        <f>D130</f>
        <v>304446</v>
      </c>
      <c r="F130" s="371">
        <f>C130+D130</f>
        <v>304446</v>
      </c>
      <c r="G130" s="370">
        <v>0</v>
      </c>
      <c r="H130" s="370">
        <f>H75</f>
        <v>401200</v>
      </c>
      <c r="I130" s="370">
        <f>H130</f>
        <v>401200</v>
      </c>
      <c r="J130" s="370">
        <f>G130+H130</f>
        <v>401200</v>
      </c>
      <c r="K130" s="370">
        <v>0</v>
      </c>
      <c r="L130" s="373">
        <f>'Кап.2020'!F17-L132</f>
        <v>397200</v>
      </c>
      <c r="M130" s="370">
        <f>L130</f>
        <v>397200</v>
      </c>
      <c r="N130" s="370">
        <f>L130</f>
        <v>397200</v>
      </c>
    </row>
    <row r="131" spans="1:14" s="372" customFormat="1" ht="26.25">
      <c r="A131" s="369" t="s">
        <v>640</v>
      </c>
      <c r="B131" s="370" t="s">
        <v>696</v>
      </c>
      <c r="C131" s="371">
        <v>0</v>
      </c>
      <c r="D131" s="371">
        <v>0</v>
      </c>
      <c r="E131" s="371">
        <f>D131</f>
        <v>0</v>
      </c>
      <c r="F131" s="371">
        <f>C131+D131</f>
        <v>0</v>
      </c>
      <c r="G131" s="370">
        <v>0</v>
      </c>
      <c r="H131" s="370">
        <v>100000</v>
      </c>
      <c r="I131" s="370">
        <f>H131</f>
        <v>100000</v>
      </c>
      <c r="J131" s="370">
        <f>G131+H131</f>
        <v>100000</v>
      </c>
      <c r="K131" s="370">
        <v>0</v>
      </c>
      <c r="L131" s="370"/>
      <c r="M131" s="370">
        <f>L131</f>
        <v>0</v>
      </c>
      <c r="N131" s="370">
        <f>L131</f>
        <v>0</v>
      </c>
    </row>
    <row r="132" spans="1:14" s="372" customFormat="1" ht="52.5">
      <c r="A132" s="369" t="s">
        <v>641</v>
      </c>
      <c r="B132" s="370" t="s">
        <v>703</v>
      </c>
      <c r="C132" s="371">
        <v>0</v>
      </c>
      <c r="D132" s="371">
        <v>0</v>
      </c>
      <c r="E132" s="371">
        <f>D132</f>
        <v>0</v>
      </c>
      <c r="F132" s="371">
        <f>C132+D132</f>
        <v>0</v>
      </c>
      <c r="G132" s="370">
        <v>0</v>
      </c>
      <c r="H132" s="370">
        <v>0</v>
      </c>
      <c r="I132" s="370">
        <f>H132</f>
        <v>0</v>
      </c>
      <c r="J132" s="370">
        <f>G132+H132</f>
        <v>0</v>
      </c>
      <c r="K132" s="370">
        <v>0</v>
      </c>
      <c r="L132" s="370">
        <v>120000</v>
      </c>
      <c r="M132" s="370">
        <f>L132</f>
        <v>120000</v>
      </c>
      <c r="N132" s="370">
        <f>L132</f>
        <v>120000</v>
      </c>
    </row>
    <row r="133" spans="1:14" s="372" customFormat="1" ht="26.25" hidden="1">
      <c r="A133" s="369" t="s">
        <v>641</v>
      </c>
      <c r="B133" s="370" t="str">
        <f>'Кап.2020'!B15</f>
        <v>Придбання землі та нематеріальних активів</v>
      </c>
      <c r="C133" s="371">
        <v>0</v>
      </c>
      <c r="D133" s="371">
        <v>0</v>
      </c>
      <c r="E133" s="371">
        <f>D133</f>
        <v>0</v>
      </c>
      <c r="F133" s="371">
        <f>C133+D133</f>
        <v>0</v>
      </c>
      <c r="G133" s="370">
        <v>0</v>
      </c>
      <c r="H133" s="370"/>
      <c r="I133" s="370">
        <f>H133</f>
        <v>0</v>
      </c>
      <c r="J133" s="370">
        <f>G133+H133</f>
        <v>0</v>
      </c>
      <c r="K133" s="370">
        <v>0</v>
      </c>
      <c r="L133" s="370"/>
      <c r="M133" s="370">
        <f>L133</f>
        <v>0</v>
      </c>
      <c r="N133" s="370">
        <f>L133</f>
        <v>0</v>
      </c>
    </row>
    <row r="134" spans="1:14" ht="12.75">
      <c r="A134" s="10" t="s">
        <v>18</v>
      </c>
      <c r="B134" s="4" t="s">
        <v>23</v>
      </c>
      <c r="C134" s="10">
        <f>SUM(C129:C132)</f>
        <v>34777110</v>
      </c>
      <c r="D134" s="10">
        <f aca="true" t="shared" si="17" ref="D134:N134">SUM(D129:D132)</f>
        <v>304446</v>
      </c>
      <c r="E134" s="10">
        <f t="shared" si="17"/>
        <v>304446</v>
      </c>
      <c r="F134" s="10">
        <f t="shared" si="17"/>
        <v>35081556</v>
      </c>
      <c r="G134" s="10">
        <f t="shared" si="17"/>
        <v>48572508</v>
      </c>
      <c r="H134" s="10">
        <f t="shared" si="17"/>
        <v>501200</v>
      </c>
      <c r="I134" s="10">
        <f t="shared" si="17"/>
        <v>501200</v>
      </c>
      <c r="J134" s="10">
        <f t="shared" si="17"/>
        <v>49073708</v>
      </c>
      <c r="K134" s="10">
        <f t="shared" si="17"/>
        <v>57331600</v>
      </c>
      <c r="L134" s="10">
        <f t="shared" si="17"/>
        <v>517200</v>
      </c>
      <c r="M134" s="10">
        <f t="shared" si="17"/>
        <v>517200</v>
      </c>
      <c r="N134" s="10">
        <f t="shared" si="17"/>
        <v>57848800</v>
      </c>
    </row>
    <row r="137" spans="1:10" ht="12.75">
      <c r="A137" s="433" t="s">
        <v>523</v>
      </c>
      <c r="B137" s="433"/>
      <c r="C137" s="433"/>
      <c r="D137" s="433"/>
      <c r="E137" s="433"/>
      <c r="F137" s="433"/>
      <c r="G137" s="433"/>
      <c r="H137" s="433"/>
      <c r="I137" s="433"/>
      <c r="J137" s="433"/>
    </row>
    <row r="138" ht="12.75">
      <c r="A138" s="3" t="s">
        <v>9</v>
      </c>
    </row>
    <row r="140" spans="1:10" ht="12.75">
      <c r="A140" s="431" t="s">
        <v>33</v>
      </c>
      <c r="B140" s="431" t="s">
        <v>32</v>
      </c>
      <c r="C140" s="431" t="s">
        <v>25</v>
      </c>
      <c r="D140" s="431"/>
      <c r="E140" s="431"/>
      <c r="F140" s="431"/>
      <c r="G140" s="431" t="s">
        <v>503</v>
      </c>
      <c r="H140" s="431"/>
      <c r="I140" s="431"/>
      <c r="J140" s="431"/>
    </row>
    <row r="141" spans="1:10" ht="39">
      <c r="A141" s="431"/>
      <c r="B141" s="431"/>
      <c r="C141" s="4" t="s">
        <v>12</v>
      </c>
      <c r="D141" s="4" t="s">
        <v>13</v>
      </c>
      <c r="E141" s="4" t="s">
        <v>14</v>
      </c>
      <c r="F141" s="4" t="s">
        <v>15</v>
      </c>
      <c r="G141" s="4" t="s">
        <v>12</v>
      </c>
      <c r="H141" s="4" t="s">
        <v>13</v>
      </c>
      <c r="I141" s="4" t="s">
        <v>14</v>
      </c>
      <c r="J141" s="4" t="s">
        <v>16</v>
      </c>
    </row>
    <row r="142" spans="1:10" ht="12.75">
      <c r="A142" s="4">
        <v>1</v>
      </c>
      <c r="B142" s="4">
        <v>2</v>
      </c>
      <c r="C142" s="4">
        <v>3</v>
      </c>
      <c r="D142" s="4">
        <v>4</v>
      </c>
      <c r="E142" s="4">
        <v>5</v>
      </c>
      <c r="F142" s="4">
        <v>6</v>
      </c>
      <c r="G142" s="4">
        <v>7</v>
      </c>
      <c r="H142" s="4">
        <v>8</v>
      </c>
      <c r="I142" s="4">
        <v>9</v>
      </c>
      <c r="J142" s="4">
        <v>10</v>
      </c>
    </row>
    <row r="143" spans="1:10" ht="66" hidden="1">
      <c r="A143" s="8" t="e">
        <f>#REF!</f>
        <v>#REF!</v>
      </c>
      <c r="B143" s="10" t="str">
        <f>B128</f>
        <v>Керівництво і управління у відповідній сфері у містах (місті Києві), селищах, селах, об'єднаних територіальних громадах</v>
      </c>
      <c r="C143" s="10">
        <f>SUM(C144:C145)</f>
        <v>59605769</v>
      </c>
      <c r="D143" s="10">
        <f>SUM(D144:D145)</f>
        <v>184600</v>
      </c>
      <c r="E143" s="10">
        <f>SUM(E144:E145)</f>
        <v>184600</v>
      </c>
      <c r="F143" s="10">
        <f>C143+D143</f>
        <v>59790369</v>
      </c>
      <c r="G143" s="10">
        <f>SUM(G144:G145)</f>
        <v>61872036</v>
      </c>
      <c r="H143" s="10">
        <f>SUM(H144:H145)</f>
        <v>572400</v>
      </c>
      <c r="I143" s="10">
        <f>SUM(I144:I145)</f>
        <v>572400</v>
      </c>
      <c r="J143" s="10">
        <f>SUM(J144:J145)</f>
        <v>62444436</v>
      </c>
    </row>
    <row r="144" spans="1:10" ht="52.5">
      <c r="A144" s="8" t="s">
        <v>110</v>
      </c>
      <c r="B144" s="4" t="s">
        <v>83</v>
      </c>
      <c r="C144" s="10">
        <f>C110</f>
        <v>59605769</v>
      </c>
      <c r="D144" s="10">
        <v>0</v>
      </c>
      <c r="E144" s="10">
        <v>0</v>
      </c>
      <c r="F144" s="10">
        <f>C144+D144</f>
        <v>59605769</v>
      </c>
      <c r="G144" s="4">
        <f>G110</f>
        <v>61872036</v>
      </c>
      <c r="H144" s="4">
        <v>0</v>
      </c>
      <c r="I144" s="4">
        <f>H144</f>
        <v>0</v>
      </c>
      <c r="J144" s="4">
        <f>G144+H144</f>
        <v>61872036</v>
      </c>
    </row>
    <row r="145" spans="1:10" ht="39">
      <c r="A145" s="8" t="s">
        <v>111</v>
      </c>
      <c r="B145" s="4" t="s">
        <v>84</v>
      </c>
      <c r="C145" s="10">
        <v>0</v>
      </c>
      <c r="D145" s="366">
        <f>D110-D146</f>
        <v>184600</v>
      </c>
      <c r="E145" s="10">
        <f>D145</f>
        <v>184600</v>
      </c>
      <c r="F145" s="10">
        <f>C145+D145</f>
        <v>184600</v>
      </c>
      <c r="G145" s="4">
        <v>0</v>
      </c>
      <c r="H145" s="4">
        <f>H110</f>
        <v>572400</v>
      </c>
      <c r="I145" s="4">
        <f>H145</f>
        <v>572400</v>
      </c>
      <c r="J145" s="4">
        <f>G145+H145</f>
        <v>572400</v>
      </c>
    </row>
    <row r="146" spans="1:16" s="372" customFormat="1" ht="52.5">
      <c r="A146" s="369" t="s">
        <v>641</v>
      </c>
      <c r="B146" s="370" t="s">
        <v>703</v>
      </c>
      <c r="C146" s="371">
        <v>0</v>
      </c>
      <c r="D146" s="414">
        <f>'Кап.2021'!F12</f>
        <v>360000</v>
      </c>
      <c r="E146" s="371">
        <f>D146</f>
        <v>360000</v>
      </c>
      <c r="F146" s="371">
        <f>C146+D146</f>
        <v>360000</v>
      </c>
      <c r="G146" s="370">
        <v>0</v>
      </c>
      <c r="H146" s="370">
        <v>0</v>
      </c>
      <c r="I146" s="370">
        <f>H146</f>
        <v>0</v>
      </c>
      <c r="J146" s="370">
        <f>G146+H146</f>
        <v>0</v>
      </c>
      <c r="K146" s="412"/>
      <c r="L146" s="412"/>
      <c r="M146" s="412"/>
      <c r="N146" s="412"/>
      <c r="O146" s="413"/>
      <c r="P146" s="413"/>
    </row>
    <row r="147" spans="1:10" ht="13.5" customHeight="1">
      <c r="A147" s="10" t="s">
        <v>18</v>
      </c>
      <c r="B147" s="4" t="s">
        <v>23</v>
      </c>
      <c r="C147" s="10">
        <f>SUM(C144:C146)</f>
        <v>59605769</v>
      </c>
      <c r="D147" s="10">
        <f aca="true" t="shared" si="18" ref="D147:J147">SUM(D144:D146)</f>
        <v>544600</v>
      </c>
      <c r="E147" s="10">
        <f t="shared" si="18"/>
        <v>544600</v>
      </c>
      <c r="F147" s="10">
        <f t="shared" si="18"/>
        <v>60150369</v>
      </c>
      <c r="G147" s="10">
        <f t="shared" si="18"/>
        <v>61872036</v>
      </c>
      <c r="H147" s="10">
        <f t="shared" si="18"/>
        <v>572400</v>
      </c>
      <c r="I147" s="10">
        <f t="shared" si="18"/>
        <v>572400</v>
      </c>
      <c r="J147" s="10">
        <f t="shared" si="18"/>
        <v>62444436</v>
      </c>
    </row>
    <row r="148" spans="11:13" ht="13.5" customHeight="1">
      <c r="K148" s="20"/>
      <c r="L148" s="20"/>
      <c r="M148" s="20"/>
    </row>
    <row r="149" spans="1:13" ht="13.5" customHeight="1">
      <c r="A149" s="433" t="s">
        <v>156</v>
      </c>
      <c r="B149" s="433"/>
      <c r="C149" s="433"/>
      <c r="D149" s="433"/>
      <c r="E149" s="433"/>
      <c r="F149" s="433"/>
      <c r="G149" s="433"/>
      <c r="H149" s="433"/>
      <c r="I149" s="433"/>
      <c r="J149" s="433"/>
      <c r="K149" s="433"/>
      <c r="L149" s="433"/>
      <c r="M149" s="433"/>
    </row>
    <row r="150" spans="1:13" ht="12.75">
      <c r="A150" s="433" t="s">
        <v>524</v>
      </c>
      <c r="B150" s="433"/>
      <c r="C150" s="433"/>
      <c r="D150" s="433"/>
      <c r="E150" s="433"/>
      <c r="F150" s="433"/>
      <c r="G150" s="433"/>
      <c r="H150" s="433"/>
      <c r="I150" s="433"/>
      <c r="J150" s="433"/>
      <c r="K150" s="433"/>
      <c r="L150" s="433"/>
      <c r="M150" s="433"/>
    </row>
    <row r="151" spans="1:13" ht="12.75">
      <c r="A151" s="444" t="s">
        <v>9</v>
      </c>
      <c r="B151" s="444"/>
      <c r="C151" s="444"/>
      <c r="D151" s="444"/>
      <c r="E151" s="444"/>
      <c r="F151" s="444"/>
      <c r="G151" s="444"/>
      <c r="H151" s="444"/>
      <c r="I151" s="444"/>
      <c r="J151" s="444"/>
      <c r="K151" s="444"/>
      <c r="L151" s="444"/>
      <c r="M151" s="444"/>
    </row>
    <row r="153" spans="1:13" ht="12.75">
      <c r="A153" s="431" t="s">
        <v>31</v>
      </c>
      <c r="B153" s="431" t="s">
        <v>34</v>
      </c>
      <c r="C153" s="431" t="s">
        <v>35</v>
      </c>
      <c r="D153" s="431" t="s">
        <v>36</v>
      </c>
      <c r="E153" s="431" t="s">
        <v>500</v>
      </c>
      <c r="F153" s="431"/>
      <c r="G153" s="431"/>
      <c r="H153" s="431" t="s">
        <v>501</v>
      </c>
      <c r="I153" s="431"/>
      <c r="J153" s="431"/>
      <c r="K153" s="431" t="s">
        <v>502</v>
      </c>
      <c r="L153" s="431"/>
      <c r="M153" s="431"/>
    </row>
    <row r="154" spans="1:13" ht="26.25">
      <c r="A154" s="431"/>
      <c r="B154" s="431"/>
      <c r="C154" s="431"/>
      <c r="D154" s="431"/>
      <c r="E154" s="4" t="s">
        <v>12</v>
      </c>
      <c r="F154" s="15" t="s">
        <v>13</v>
      </c>
      <c r="G154" s="4" t="s">
        <v>37</v>
      </c>
      <c r="H154" s="4" t="s">
        <v>12</v>
      </c>
      <c r="I154" s="4" t="s">
        <v>13</v>
      </c>
      <c r="J154" s="4" t="s">
        <v>38</v>
      </c>
      <c r="K154" s="4" t="s">
        <v>12</v>
      </c>
      <c r="L154" s="4" t="s">
        <v>13</v>
      </c>
      <c r="M154" s="4" t="s">
        <v>17</v>
      </c>
    </row>
    <row r="155" spans="1:13" ht="12.75" customHeight="1">
      <c r="A155" s="4">
        <v>1</v>
      </c>
      <c r="B155" s="4">
        <v>2</v>
      </c>
      <c r="C155" s="4">
        <v>3</v>
      </c>
      <c r="D155" s="4">
        <v>4</v>
      </c>
      <c r="E155" s="4">
        <v>5</v>
      </c>
      <c r="F155" s="4">
        <v>6</v>
      </c>
      <c r="G155" s="4">
        <v>7</v>
      </c>
      <c r="H155" s="4">
        <v>8</v>
      </c>
      <c r="I155" s="4">
        <v>9</v>
      </c>
      <c r="J155" s="4">
        <v>10</v>
      </c>
      <c r="K155" s="4">
        <v>11</v>
      </c>
      <c r="L155" s="4">
        <v>12</v>
      </c>
      <c r="M155" s="4">
        <v>13</v>
      </c>
    </row>
    <row r="156" spans="1:13" s="257" customFormat="1" ht="12.75">
      <c r="A156" s="6">
        <v>1</v>
      </c>
      <c r="B156" s="12" t="s">
        <v>39</v>
      </c>
      <c r="C156" s="6" t="s">
        <v>18</v>
      </c>
      <c r="D156" s="6" t="s">
        <v>18</v>
      </c>
      <c r="E156" s="6" t="s">
        <v>18</v>
      </c>
      <c r="F156" s="6" t="s">
        <v>18</v>
      </c>
      <c r="G156" s="6" t="s">
        <v>18</v>
      </c>
      <c r="H156" s="6" t="s">
        <v>18</v>
      </c>
      <c r="I156" s="6" t="s">
        <v>18</v>
      </c>
      <c r="J156" s="6" t="s">
        <v>18</v>
      </c>
      <c r="K156" s="6" t="s">
        <v>18</v>
      </c>
      <c r="L156" s="6" t="s">
        <v>18</v>
      </c>
      <c r="M156" s="6" t="s">
        <v>18</v>
      </c>
    </row>
    <row r="157" spans="1:13" ht="12.75">
      <c r="A157" s="4" t="s">
        <v>18</v>
      </c>
      <c r="B157" s="15" t="s">
        <v>119</v>
      </c>
      <c r="C157" s="4" t="s">
        <v>120</v>
      </c>
      <c r="D157" s="4" t="s">
        <v>121</v>
      </c>
      <c r="E157" s="4">
        <v>196</v>
      </c>
      <c r="F157" s="4">
        <v>0</v>
      </c>
      <c r="G157" s="4">
        <f>E157+F157</f>
        <v>196</v>
      </c>
      <c r="H157" s="4">
        <v>200</v>
      </c>
      <c r="I157" s="4">
        <v>0</v>
      </c>
      <c r="J157" s="4">
        <f>H157+I157</f>
        <v>200</v>
      </c>
      <c r="K157" s="4">
        <v>200</v>
      </c>
      <c r="L157" s="4">
        <v>0</v>
      </c>
      <c r="M157" s="4">
        <f>K157</f>
        <v>200</v>
      </c>
    </row>
    <row r="158" spans="1:13" ht="39">
      <c r="A158" s="4" t="s">
        <v>18</v>
      </c>
      <c r="B158" s="15" t="s">
        <v>699</v>
      </c>
      <c r="C158" s="4" t="s">
        <v>128</v>
      </c>
      <c r="D158" s="4" t="s">
        <v>708</v>
      </c>
      <c r="E158" s="4"/>
      <c r="F158" s="4"/>
      <c r="G158" s="4">
        <f>E158+F158</f>
        <v>0</v>
      </c>
      <c r="H158" s="4"/>
      <c r="I158" s="4">
        <v>0</v>
      </c>
      <c r="J158" s="4">
        <f>H158+I158</f>
        <v>0</v>
      </c>
      <c r="K158" s="4"/>
      <c r="L158" s="4">
        <v>120</v>
      </c>
      <c r="M158" s="4">
        <f>L158</f>
        <v>120</v>
      </c>
    </row>
    <row r="159" spans="1:13" s="257" customFormat="1" ht="12.75">
      <c r="A159" s="6">
        <v>2</v>
      </c>
      <c r="B159" s="258" t="s">
        <v>40</v>
      </c>
      <c r="C159" s="6" t="s">
        <v>18</v>
      </c>
      <c r="D159" s="6" t="s">
        <v>18</v>
      </c>
      <c r="E159" s="6" t="s">
        <v>18</v>
      </c>
      <c r="F159" s="6" t="s">
        <v>18</v>
      </c>
      <c r="G159" s="6" t="s">
        <v>18</v>
      </c>
      <c r="H159" s="6" t="s">
        <v>18</v>
      </c>
      <c r="I159" s="6" t="s">
        <v>18</v>
      </c>
      <c r="J159" s="6" t="s">
        <v>18</v>
      </c>
      <c r="K159" s="6" t="s">
        <v>18</v>
      </c>
      <c r="L159" s="6" t="s">
        <v>18</v>
      </c>
      <c r="M159" s="6" t="s">
        <v>18</v>
      </c>
    </row>
    <row r="160" spans="1:13" ht="159.75" customHeight="1">
      <c r="A160" s="4" t="s">
        <v>18</v>
      </c>
      <c r="B160" s="15" t="s">
        <v>122</v>
      </c>
      <c r="C160" s="4" t="s">
        <v>123</v>
      </c>
      <c r="D160" s="4" t="s">
        <v>124</v>
      </c>
      <c r="E160" s="4">
        <v>65598</v>
      </c>
      <c r="F160" s="4">
        <v>0</v>
      </c>
      <c r="G160" s="4">
        <f>E160+F160</f>
        <v>65598</v>
      </c>
      <c r="H160" s="4">
        <v>65600</v>
      </c>
      <c r="I160" s="4">
        <v>0</v>
      </c>
      <c r="J160" s="4">
        <f>H160+I160</f>
        <v>65600</v>
      </c>
      <c r="K160" s="4">
        <f>J160</f>
        <v>65600</v>
      </c>
      <c r="L160" s="4">
        <v>0</v>
      </c>
      <c r="M160" s="4">
        <f>K160</f>
        <v>65600</v>
      </c>
    </row>
    <row r="161" spans="1:13" ht="26.25">
      <c r="A161" s="4" t="s">
        <v>18</v>
      </c>
      <c r="B161" s="15" t="s">
        <v>125</v>
      </c>
      <c r="C161" s="4" t="s">
        <v>123</v>
      </c>
      <c r="D161" s="4" t="s">
        <v>525</v>
      </c>
      <c r="E161" s="4">
        <v>115</v>
      </c>
      <c r="F161" s="4">
        <v>0</v>
      </c>
      <c r="G161" s="4">
        <f>E161</f>
        <v>115</v>
      </c>
      <c r="H161" s="4">
        <v>70</v>
      </c>
      <c r="I161" s="4">
        <v>0</v>
      </c>
      <c r="J161" s="4">
        <f>H161+I161</f>
        <v>70</v>
      </c>
      <c r="K161" s="4">
        <f>J161</f>
        <v>70</v>
      </c>
      <c r="L161" s="4">
        <v>0</v>
      </c>
      <c r="M161" s="4">
        <f>K161</f>
        <v>70</v>
      </c>
    </row>
    <row r="162" spans="1:13" ht="39">
      <c r="A162" s="4" t="s">
        <v>18</v>
      </c>
      <c r="B162" s="15" t="s">
        <v>147</v>
      </c>
      <c r="C162" s="4" t="s">
        <v>123</v>
      </c>
      <c r="D162" s="4" t="s">
        <v>526</v>
      </c>
      <c r="E162" s="4"/>
      <c r="F162" s="4">
        <v>28</v>
      </c>
      <c r="G162" s="4">
        <f>F162</f>
        <v>28</v>
      </c>
      <c r="H162" s="4"/>
      <c r="I162" s="4">
        <v>34</v>
      </c>
      <c r="J162" s="4">
        <f>I162</f>
        <v>34</v>
      </c>
      <c r="K162" s="4"/>
      <c r="L162" s="4">
        <v>35</v>
      </c>
      <c r="M162" s="4">
        <f>L162</f>
        <v>35</v>
      </c>
    </row>
    <row r="163" spans="1:13" ht="26.25">
      <c r="A163" s="4" t="s">
        <v>18</v>
      </c>
      <c r="B163" s="15" t="s">
        <v>709</v>
      </c>
      <c r="C163" s="4" t="s">
        <v>123</v>
      </c>
      <c r="D163" s="4" t="s">
        <v>527</v>
      </c>
      <c r="E163" s="4">
        <v>0</v>
      </c>
      <c r="F163" s="4">
        <f>E163</f>
        <v>0</v>
      </c>
      <c r="G163" s="4">
        <f>F163</f>
        <v>0</v>
      </c>
      <c r="H163" s="4">
        <v>0</v>
      </c>
      <c r="I163" s="4">
        <v>2</v>
      </c>
      <c r="J163" s="4">
        <f>I163</f>
        <v>2</v>
      </c>
      <c r="K163" s="4"/>
      <c r="L163" s="4">
        <v>0</v>
      </c>
      <c r="M163" s="4">
        <f>L163</f>
        <v>0</v>
      </c>
    </row>
    <row r="164" spans="1:13" ht="39">
      <c r="A164" s="4" t="s">
        <v>18</v>
      </c>
      <c r="B164" s="15" t="s">
        <v>700</v>
      </c>
      <c r="C164" s="4" t="s">
        <v>123</v>
      </c>
      <c r="D164" s="4" t="str">
        <f>D158</f>
        <v>кошторис </v>
      </c>
      <c r="E164" s="4">
        <v>0</v>
      </c>
      <c r="F164" s="4">
        <f>E164</f>
        <v>0</v>
      </c>
      <c r="G164" s="4">
        <f>F164</f>
        <v>0</v>
      </c>
      <c r="H164" s="4">
        <v>0</v>
      </c>
      <c r="I164" s="4">
        <v>0</v>
      </c>
      <c r="J164" s="4">
        <f>I164</f>
        <v>0</v>
      </c>
      <c r="K164" s="4"/>
      <c r="L164" s="4">
        <v>1</v>
      </c>
      <c r="M164" s="4">
        <f>L164</f>
        <v>1</v>
      </c>
    </row>
    <row r="165" spans="1:13" s="257" customFormat="1" ht="12.75">
      <c r="A165" s="6">
        <v>3</v>
      </c>
      <c r="B165" s="258" t="s">
        <v>41</v>
      </c>
      <c r="C165" s="6" t="s">
        <v>18</v>
      </c>
      <c r="D165" s="6" t="s">
        <v>18</v>
      </c>
      <c r="E165" s="6" t="s">
        <v>18</v>
      </c>
      <c r="F165" s="6" t="s">
        <v>18</v>
      </c>
      <c r="G165" s="6" t="s">
        <v>18</v>
      </c>
      <c r="H165" s="6" t="s">
        <v>18</v>
      </c>
      <c r="I165" s="6" t="s">
        <v>18</v>
      </c>
      <c r="J165" s="6" t="s">
        <v>18</v>
      </c>
      <c r="K165" s="6" t="s">
        <v>18</v>
      </c>
      <c r="L165" s="6" t="s">
        <v>18</v>
      </c>
      <c r="M165" s="6" t="s">
        <v>18</v>
      </c>
    </row>
    <row r="166" spans="1:13" ht="39">
      <c r="A166" s="4" t="s">
        <v>18</v>
      </c>
      <c r="B166" s="15" t="s">
        <v>126</v>
      </c>
      <c r="C166" s="4" t="s">
        <v>123</v>
      </c>
      <c r="D166" s="4" t="s">
        <v>129</v>
      </c>
      <c r="E166" s="4">
        <v>335</v>
      </c>
      <c r="F166" s="4">
        <v>0</v>
      </c>
      <c r="G166" s="4">
        <f>E166+F166</f>
        <v>335</v>
      </c>
      <c r="H166" s="4">
        <v>328</v>
      </c>
      <c r="I166" s="4">
        <v>0</v>
      </c>
      <c r="J166" s="4">
        <f>H166+I166</f>
        <v>328</v>
      </c>
      <c r="K166" s="4">
        <f>ROUND((K160/K157),)</f>
        <v>328</v>
      </c>
      <c r="L166" s="4">
        <v>0</v>
      </c>
      <c r="M166" s="4">
        <f>K166</f>
        <v>328</v>
      </c>
    </row>
    <row r="167" spans="1:13" ht="39">
      <c r="A167" s="4" t="s">
        <v>18</v>
      </c>
      <c r="B167" s="15" t="s">
        <v>127</v>
      </c>
      <c r="C167" s="4" t="s">
        <v>123</v>
      </c>
      <c r="D167" s="4" t="s">
        <v>129</v>
      </c>
      <c r="E167" s="4">
        <v>0.587</v>
      </c>
      <c r="F167" s="4">
        <v>0</v>
      </c>
      <c r="G167" s="4">
        <f>E167+F167</f>
        <v>0.587</v>
      </c>
      <c r="H167" s="4">
        <v>0.35</v>
      </c>
      <c r="I167" s="4">
        <v>0</v>
      </c>
      <c r="J167" s="4">
        <f>H167+I167</f>
        <v>0.35</v>
      </c>
      <c r="K167" s="4" t="s">
        <v>18</v>
      </c>
      <c r="L167" s="4">
        <v>0</v>
      </c>
      <c r="M167" s="4" t="str">
        <f>K167</f>
        <v> </v>
      </c>
    </row>
    <row r="168" spans="1:13" ht="26.25">
      <c r="A168" s="4"/>
      <c r="B168" s="15" t="s">
        <v>528</v>
      </c>
      <c r="C168" s="4" t="s">
        <v>128</v>
      </c>
      <c r="D168" s="4" t="s">
        <v>129</v>
      </c>
      <c r="E168" s="4">
        <v>177.434</v>
      </c>
      <c r="F168" s="4"/>
      <c r="G168" s="4">
        <f>E168</f>
        <v>177.434</v>
      </c>
      <c r="H168" s="4">
        <f>ROUND((G78/H157/1000),3)</f>
        <v>242.863</v>
      </c>
      <c r="I168" s="4"/>
      <c r="J168" s="4">
        <f>H168</f>
        <v>242.863</v>
      </c>
      <c r="K168" s="4">
        <f>ROUND((K128/K157/1000),3)</f>
        <v>286.658</v>
      </c>
      <c r="L168" s="4"/>
      <c r="M168" s="4">
        <f>K168</f>
        <v>286.658</v>
      </c>
    </row>
    <row r="169" spans="1:13" ht="26.25">
      <c r="A169" s="4" t="s">
        <v>18</v>
      </c>
      <c r="B169" s="15" t="s">
        <v>146</v>
      </c>
      <c r="C169" s="4" t="s">
        <v>128</v>
      </c>
      <c r="D169" s="4" t="s">
        <v>129</v>
      </c>
      <c r="E169" s="4"/>
      <c r="F169" s="4">
        <v>10.873</v>
      </c>
      <c r="G169" s="4">
        <f>F169</f>
        <v>10.873</v>
      </c>
      <c r="H169" s="22"/>
      <c r="I169" s="4">
        <v>11.8</v>
      </c>
      <c r="J169" s="22">
        <f>I169</f>
        <v>11.8</v>
      </c>
      <c r="K169" s="4"/>
      <c r="L169" s="4">
        <f>ROUND((L130/L162/1000),3)</f>
        <v>11.349</v>
      </c>
      <c r="M169" s="4">
        <f>L169</f>
        <v>11.349</v>
      </c>
    </row>
    <row r="170" spans="1:13" ht="26.25">
      <c r="A170" s="4" t="s">
        <v>18</v>
      </c>
      <c r="B170" s="15" t="s">
        <v>529</v>
      </c>
      <c r="C170" s="4" t="s">
        <v>128</v>
      </c>
      <c r="D170" s="4" t="s">
        <v>129</v>
      </c>
      <c r="E170" s="4">
        <v>0</v>
      </c>
      <c r="F170" s="4">
        <f>E170</f>
        <v>0</v>
      </c>
      <c r="G170" s="4">
        <f>F170</f>
        <v>0</v>
      </c>
      <c r="H170" s="22">
        <v>0</v>
      </c>
      <c r="I170" s="22">
        <v>50</v>
      </c>
      <c r="J170" s="22">
        <f>I170</f>
        <v>50</v>
      </c>
      <c r="K170" s="4">
        <v>0</v>
      </c>
      <c r="L170" s="4">
        <v>0</v>
      </c>
      <c r="M170" s="4">
        <f>L170</f>
        <v>0</v>
      </c>
    </row>
    <row r="171" spans="1:13" ht="39">
      <c r="A171" s="4" t="s">
        <v>18</v>
      </c>
      <c r="B171" s="15" t="s">
        <v>701</v>
      </c>
      <c r="C171" s="4" t="s">
        <v>128</v>
      </c>
      <c r="D171" s="4" t="s">
        <v>129</v>
      </c>
      <c r="E171" s="4">
        <v>0</v>
      </c>
      <c r="F171" s="4">
        <f>E171</f>
        <v>0</v>
      </c>
      <c r="G171" s="4">
        <f>F171</f>
        <v>0</v>
      </c>
      <c r="H171" s="22">
        <v>0</v>
      </c>
      <c r="I171" s="22">
        <v>0</v>
      </c>
      <c r="J171" s="22">
        <f>I171</f>
        <v>0</v>
      </c>
      <c r="K171" s="4">
        <v>0</v>
      </c>
      <c r="L171" s="4">
        <v>120</v>
      </c>
      <c r="M171" s="4">
        <f>L171</f>
        <v>120</v>
      </c>
    </row>
    <row r="172" spans="1:13" s="257" customFormat="1" ht="12.75">
      <c r="A172" s="6">
        <v>4</v>
      </c>
      <c r="B172" s="12" t="s">
        <v>42</v>
      </c>
      <c r="C172" s="6" t="s">
        <v>18</v>
      </c>
      <c r="D172" s="6" t="s">
        <v>18</v>
      </c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60.75" customHeight="1">
      <c r="A173" s="4" t="s">
        <v>18</v>
      </c>
      <c r="B173" s="15" t="s">
        <v>710</v>
      </c>
      <c r="C173" s="4" t="s">
        <v>128</v>
      </c>
      <c r="D173" s="4" t="s">
        <v>129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</row>
    <row r="174" spans="1:13" ht="52.5">
      <c r="A174" s="4" t="s">
        <v>18</v>
      </c>
      <c r="B174" s="15" t="s">
        <v>530</v>
      </c>
      <c r="C174" s="4" t="s">
        <v>150</v>
      </c>
      <c r="D174" s="4" t="s">
        <v>129</v>
      </c>
      <c r="E174" s="4">
        <v>0</v>
      </c>
      <c r="F174" s="4">
        <v>0</v>
      </c>
      <c r="G174" s="4">
        <v>0</v>
      </c>
      <c r="H174" s="4">
        <v>0</v>
      </c>
      <c r="I174" s="4">
        <v>100</v>
      </c>
      <c r="J174" s="4">
        <v>100</v>
      </c>
      <c r="K174" s="4">
        <v>0</v>
      </c>
      <c r="L174" s="4">
        <v>0</v>
      </c>
      <c r="M174" s="4">
        <f>L174</f>
        <v>0</v>
      </c>
    </row>
    <row r="175" spans="1:13" ht="78.75">
      <c r="A175" s="4" t="s">
        <v>18</v>
      </c>
      <c r="B175" s="15" t="s">
        <v>711</v>
      </c>
      <c r="C175" s="4" t="s">
        <v>150</v>
      </c>
      <c r="D175" s="4" t="s">
        <v>129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25</v>
      </c>
      <c r="M175" s="4">
        <f>L175</f>
        <v>25</v>
      </c>
    </row>
    <row r="178" spans="1:10" ht="12.75">
      <c r="A178" s="433" t="s">
        <v>531</v>
      </c>
      <c r="B178" s="433"/>
      <c r="C178" s="433"/>
      <c r="D178" s="433"/>
      <c r="E178" s="433"/>
      <c r="F178" s="433"/>
      <c r="G178" s="433"/>
      <c r="H178" s="433"/>
      <c r="I178" s="433"/>
      <c r="J178" s="433"/>
    </row>
    <row r="181" ht="12.75">
      <c r="J181" s="3" t="s">
        <v>9</v>
      </c>
    </row>
    <row r="182" spans="1:10" ht="12.75">
      <c r="A182" s="431" t="s">
        <v>31</v>
      </c>
      <c r="B182" s="431" t="s">
        <v>34</v>
      </c>
      <c r="C182" s="431" t="s">
        <v>35</v>
      </c>
      <c r="D182" s="431" t="s">
        <v>36</v>
      </c>
      <c r="E182" s="431" t="s">
        <v>25</v>
      </c>
      <c r="F182" s="431"/>
      <c r="G182" s="431"/>
      <c r="H182" s="431" t="s">
        <v>503</v>
      </c>
      <c r="I182" s="431"/>
      <c r="J182" s="431"/>
    </row>
    <row r="183" spans="1:10" ht="26.25">
      <c r="A183" s="431"/>
      <c r="B183" s="431"/>
      <c r="C183" s="431"/>
      <c r="D183" s="431"/>
      <c r="E183" s="4" t="s">
        <v>12</v>
      </c>
      <c r="F183" s="4" t="s">
        <v>13</v>
      </c>
      <c r="G183" s="4" t="s">
        <v>37</v>
      </c>
      <c r="H183" s="4" t="s">
        <v>12</v>
      </c>
      <c r="I183" s="4" t="s">
        <v>13</v>
      </c>
      <c r="J183" s="4" t="s">
        <v>38</v>
      </c>
    </row>
    <row r="184" spans="1:10" ht="12.75">
      <c r="A184" s="4">
        <v>1</v>
      </c>
      <c r="B184" s="4">
        <v>2</v>
      </c>
      <c r="C184" s="4">
        <v>3</v>
      </c>
      <c r="D184" s="4">
        <v>4</v>
      </c>
      <c r="E184" s="4">
        <v>5</v>
      </c>
      <c r="F184" s="4">
        <v>6</v>
      </c>
      <c r="G184" s="4">
        <v>7</v>
      </c>
      <c r="H184" s="4">
        <v>8</v>
      </c>
      <c r="I184" s="4">
        <v>9</v>
      </c>
      <c r="J184" s="4">
        <v>10</v>
      </c>
    </row>
    <row r="185" spans="1:10" ht="12.75">
      <c r="A185" s="6">
        <v>1</v>
      </c>
      <c r="B185" s="12" t="s">
        <v>39</v>
      </c>
      <c r="C185" s="6" t="s">
        <v>18</v>
      </c>
      <c r="D185" s="6" t="s">
        <v>18</v>
      </c>
      <c r="E185" s="6" t="s">
        <v>18</v>
      </c>
      <c r="F185" s="6" t="s">
        <v>18</v>
      </c>
      <c r="G185" s="6" t="s">
        <v>18</v>
      </c>
      <c r="H185" s="6" t="s">
        <v>18</v>
      </c>
      <c r="I185" s="6" t="s">
        <v>18</v>
      </c>
      <c r="J185" s="6" t="s">
        <v>18</v>
      </c>
    </row>
    <row r="186" spans="1:10" ht="12.75">
      <c r="A186" s="4" t="s">
        <v>18</v>
      </c>
      <c r="B186" s="15" t="s">
        <v>119</v>
      </c>
      <c r="C186" s="4" t="s">
        <v>120</v>
      </c>
      <c r="D186" s="4" t="s">
        <v>121</v>
      </c>
      <c r="E186" s="4">
        <v>200</v>
      </c>
      <c r="F186" s="4">
        <v>0</v>
      </c>
      <c r="G186" s="4">
        <f>E186+F186</f>
        <v>200</v>
      </c>
      <c r="H186" s="4">
        <v>200</v>
      </c>
      <c r="I186" s="4">
        <v>0</v>
      </c>
      <c r="J186" s="4">
        <f>H186+I186</f>
        <v>200</v>
      </c>
    </row>
    <row r="187" spans="1:10" ht="39">
      <c r="A187" s="4" t="s">
        <v>18</v>
      </c>
      <c r="B187" s="15" t="s">
        <v>699</v>
      </c>
      <c r="C187" s="4" t="s">
        <v>128</v>
      </c>
      <c r="D187" s="4" t="s">
        <v>708</v>
      </c>
      <c r="E187" s="4"/>
      <c r="F187" s="204">
        <v>360</v>
      </c>
      <c r="G187" s="4">
        <f>E187+F187</f>
        <v>360</v>
      </c>
      <c r="H187" s="4"/>
      <c r="I187" s="4">
        <v>0</v>
      </c>
      <c r="J187" s="4">
        <f>H187+I187</f>
        <v>0</v>
      </c>
    </row>
    <row r="188" spans="1:10" ht="12.75">
      <c r="A188" s="6">
        <v>2</v>
      </c>
      <c r="B188" s="258" t="s">
        <v>40</v>
      </c>
      <c r="C188" s="6" t="s">
        <v>18</v>
      </c>
      <c r="D188" s="6" t="s">
        <v>18</v>
      </c>
      <c r="E188" s="6" t="s">
        <v>18</v>
      </c>
      <c r="F188" s="6" t="s">
        <v>18</v>
      </c>
      <c r="G188" s="6" t="s">
        <v>18</v>
      </c>
      <c r="H188" s="6" t="s">
        <v>18</v>
      </c>
      <c r="I188" s="6" t="s">
        <v>18</v>
      </c>
      <c r="J188" s="6" t="s">
        <v>18</v>
      </c>
    </row>
    <row r="189" spans="1:10" ht="144.75">
      <c r="A189" s="4" t="s">
        <v>18</v>
      </c>
      <c r="B189" s="15" t="s">
        <v>122</v>
      </c>
      <c r="C189" s="4" t="s">
        <v>123</v>
      </c>
      <c r="D189" s="4" t="s">
        <v>124</v>
      </c>
      <c r="E189" s="4">
        <v>65600</v>
      </c>
      <c r="F189" s="4">
        <v>0</v>
      </c>
      <c r="G189" s="4">
        <f>E189+F189</f>
        <v>65600</v>
      </c>
      <c r="H189" s="4">
        <v>65600</v>
      </c>
      <c r="I189" s="4">
        <v>0</v>
      </c>
      <c r="J189" s="4">
        <f>H189+I189</f>
        <v>65600</v>
      </c>
    </row>
    <row r="190" spans="1:10" ht="26.25">
      <c r="A190" s="4" t="s">
        <v>18</v>
      </c>
      <c r="B190" s="15" t="s">
        <v>125</v>
      </c>
      <c r="C190" s="4" t="s">
        <v>123</v>
      </c>
      <c r="D190" s="4" t="s">
        <v>525</v>
      </c>
      <c r="E190" s="4">
        <v>70</v>
      </c>
      <c r="F190" s="4">
        <v>0</v>
      </c>
      <c r="G190" s="4">
        <f>E190</f>
        <v>70</v>
      </c>
      <c r="H190" s="4">
        <v>70</v>
      </c>
      <c r="I190" s="4">
        <v>0</v>
      </c>
      <c r="J190" s="4">
        <f>H190+I190</f>
        <v>70</v>
      </c>
    </row>
    <row r="191" spans="1:13" ht="39">
      <c r="A191" s="4" t="s">
        <v>18</v>
      </c>
      <c r="B191" s="15" t="s">
        <v>147</v>
      </c>
      <c r="C191" s="4" t="s">
        <v>123</v>
      </c>
      <c r="D191" s="4" t="s">
        <v>526</v>
      </c>
      <c r="E191" s="4"/>
      <c r="F191" s="4">
        <f>'Кап.2021'!D13</f>
        <v>16</v>
      </c>
      <c r="G191" s="4">
        <f>F191</f>
        <v>16</v>
      </c>
      <c r="H191" s="4"/>
      <c r="I191" s="4">
        <f>'Кап.2022'!D14</f>
        <v>46</v>
      </c>
      <c r="J191" s="4">
        <f>I191</f>
        <v>46</v>
      </c>
      <c r="K191" s="219"/>
      <c r="L191" s="219"/>
      <c r="M191" s="219"/>
    </row>
    <row r="192" spans="1:13" ht="39">
      <c r="A192" s="4" t="s">
        <v>18</v>
      </c>
      <c r="B192" s="15" t="s">
        <v>700</v>
      </c>
      <c r="C192" s="4" t="s">
        <v>123</v>
      </c>
      <c r="D192" s="4" t="str">
        <f>D186</f>
        <v>Штатний розпис</v>
      </c>
      <c r="E192" s="4">
        <v>0</v>
      </c>
      <c r="F192" s="4">
        <v>3</v>
      </c>
      <c r="G192" s="4">
        <f>F192</f>
        <v>3</v>
      </c>
      <c r="H192" s="4">
        <v>0</v>
      </c>
      <c r="I192" s="4">
        <v>0</v>
      </c>
      <c r="J192" s="4">
        <f>I192</f>
        <v>0</v>
      </c>
      <c r="K192" s="11"/>
      <c r="L192" s="11"/>
      <c r="M192" s="11"/>
    </row>
    <row r="193" spans="1:10" ht="12.75">
      <c r="A193" s="6">
        <v>3</v>
      </c>
      <c r="B193" s="258" t="s">
        <v>41</v>
      </c>
      <c r="C193" s="6" t="s">
        <v>18</v>
      </c>
      <c r="D193" s="6" t="s">
        <v>18</v>
      </c>
      <c r="E193" s="6" t="s">
        <v>18</v>
      </c>
      <c r="F193" s="6" t="s">
        <v>18</v>
      </c>
      <c r="G193" s="6" t="s">
        <v>18</v>
      </c>
      <c r="H193" s="6" t="s">
        <v>18</v>
      </c>
      <c r="I193" s="6" t="s">
        <v>18</v>
      </c>
      <c r="J193" s="6" t="s">
        <v>18</v>
      </c>
    </row>
    <row r="194" spans="1:10" ht="39">
      <c r="A194" s="4" t="s">
        <v>18</v>
      </c>
      <c r="B194" s="15" t="s">
        <v>126</v>
      </c>
      <c r="C194" s="4" t="s">
        <v>123</v>
      </c>
      <c r="D194" s="4" t="s">
        <v>129</v>
      </c>
      <c r="E194" s="4">
        <v>328</v>
      </c>
      <c r="F194" s="4">
        <v>0</v>
      </c>
      <c r="G194" s="4">
        <f>E194+F194</f>
        <v>328</v>
      </c>
      <c r="H194" s="4">
        <v>328</v>
      </c>
      <c r="I194" s="4">
        <v>0</v>
      </c>
      <c r="J194" s="4">
        <f>H194+I194</f>
        <v>328</v>
      </c>
    </row>
    <row r="195" spans="1:10" ht="12.75" customHeight="1">
      <c r="A195" s="4" t="s">
        <v>18</v>
      </c>
      <c r="B195" s="15" t="s">
        <v>127</v>
      </c>
      <c r="C195" s="4" t="s">
        <v>123</v>
      </c>
      <c r="D195" s="4" t="s">
        <v>129</v>
      </c>
      <c r="E195" s="4">
        <v>0.35</v>
      </c>
      <c r="F195" s="4">
        <v>0</v>
      </c>
      <c r="G195" s="4">
        <f>E195+F195</f>
        <v>0.35</v>
      </c>
      <c r="H195" s="4">
        <v>0.35</v>
      </c>
      <c r="I195" s="4">
        <v>0</v>
      </c>
      <c r="J195" s="4">
        <f>H195+I195</f>
        <v>0.35</v>
      </c>
    </row>
    <row r="196" spans="1:10" ht="26.25">
      <c r="A196" s="4"/>
      <c r="B196" s="15" t="s">
        <v>528</v>
      </c>
      <c r="C196" s="4" t="s">
        <v>128</v>
      </c>
      <c r="D196" s="4" t="s">
        <v>129</v>
      </c>
      <c r="E196" s="4">
        <f>ROUND((C144/E186/1000),3)</f>
        <v>298.029</v>
      </c>
      <c r="F196" s="4"/>
      <c r="G196" s="4">
        <f>E196</f>
        <v>298.029</v>
      </c>
      <c r="H196" s="4">
        <f>ROUND((G144/H186/1000),3)</f>
        <v>309.36</v>
      </c>
      <c r="I196" s="4"/>
      <c r="J196" s="4">
        <f>H196</f>
        <v>309.36</v>
      </c>
    </row>
    <row r="197" spans="1:10" ht="26.25">
      <c r="A197" s="4" t="s">
        <v>18</v>
      </c>
      <c r="B197" s="15" t="s">
        <v>146</v>
      </c>
      <c r="C197" s="4" t="s">
        <v>128</v>
      </c>
      <c r="D197" s="4" t="s">
        <v>129</v>
      </c>
      <c r="E197" s="4"/>
      <c r="F197" s="4">
        <f>ROUND((D145/F191/1000),3)</f>
        <v>11.538</v>
      </c>
      <c r="G197" s="4">
        <f>F197</f>
        <v>11.538</v>
      </c>
      <c r="H197" s="22"/>
      <c r="I197" s="4">
        <f>ROUND((H145/I191/1000),3)</f>
        <v>12.443</v>
      </c>
      <c r="J197" s="22">
        <f>I197</f>
        <v>12.443</v>
      </c>
    </row>
    <row r="198" spans="1:10" ht="67.5" customHeight="1">
      <c r="A198" s="4" t="s">
        <v>18</v>
      </c>
      <c r="B198" s="15" t="s">
        <v>701</v>
      </c>
      <c r="C198" s="4" t="s">
        <v>128</v>
      </c>
      <c r="D198" s="4" t="s">
        <v>129</v>
      </c>
      <c r="E198" s="4">
        <v>0</v>
      </c>
      <c r="F198" s="4">
        <f>E198</f>
        <v>0</v>
      </c>
      <c r="G198" s="4">
        <f>F198</f>
        <v>0</v>
      </c>
      <c r="H198" s="22">
        <v>0</v>
      </c>
      <c r="I198" s="22">
        <f>H198</f>
        <v>0</v>
      </c>
      <c r="J198" s="22">
        <f>I198</f>
        <v>0</v>
      </c>
    </row>
    <row r="199" spans="1:10" ht="12.75">
      <c r="A199" s="6">
        <v>4</v>
      </c>
      <c r="B199" s="12" t="s">
        <v>42</v>
      </c>
      <c r="C199" s="6" t="s">
        <v>18</v>
      </c>
      <c r="D199" s="6" t="s">
        <v>18</v>
      </c>
      <c r="E199" s="6"/>
      <c r="F199" s="6"/>
      <c r="G199" s="6"/>
      <c r="H199" s="6"/>
      <c r="I199" s="6"/>
      <c r="J199" s="6"/>
    </row>
    <row r="200" spans="1:10" s="21" customFormat="1" ht="52.5">
      <c r="A200" s="415" t="s">
        <v>18</v>
      </c>
      <c r="B200" s="416" t="s">
        <v>130</v>
      </c>
      <c r="C200" s="415" t="s">
        <v>128</v>
      </c>
      <c r="D200" s="415" t="s">
        <v>129</v>
      </c>
      <c r="E200" s="415">
        <v>0</v>
      </c>
      <c r="F200" s="415">
        <v>0</v>
      </c>
      <c r="G200" s="415">
        <v>0</v>
      </c>
      <c r="H200" s="415">
        <v>0</v>
      </c>
      <c r="I200" s="415">
        <v>0</v>
      </c>
      <c r="J200" s="415">
        <v>0</v>
      </c>
    </row>
    <row r="201" spans="1:10" s="407" customFormat="1" ht="78.75">
      <c r="A201" s="406" t="s">
        <v>18</v>
      </c>
      <c r="B201" s="15" t="s">
        <v>702</v>
      </c>
      <c r="C201" s="415" t="s">
        <v>150</v>
      </c>
      <c r="D201" s="415" t="s">
        <v>129</v>
      </c>
      <c r="E201" s="415">
        <v>0</v>
      </c>
      <c r="F201" s="415">
        <v>100</v>
      </c>
      <c r="G201" s="415">
        <f>F201</f>
        <v>100</v>
      </c>
      <c r="H201" s="415">
        <v>0</v>
      </c>
      <c r="I201" s="415">
        <v>0</v>
      </c>
      <c r="J201" s="415">
        <v>0</v>
      </c>
    </row>
    <row r="202" ht="13.5" customHeight="1">
      <c r="K202" s="16"/>
    </row>
    <row r="203" spans="1:11" ht="12.75">
      <c r="A203" s="433" t="s">
        <v>43</v>
      </c>
      <c r="B203" s="433"/>
      <c r="C203" s="433"/>
      <c r="D203" s="433"/>
      <c r="E203" s="433"/>
      <c r="F203" s="433"/>
      <c r="G203" s="433"/>
      <c r="H203" s="433"/>
      <c r="I203" s="433"/>
      <c r="J203" s="433"/>
      <c r="K203" s="433"/>
    </row>
    <row r="204" spans="1:11" ht="13.5" customHeight="1">
      <c r="A204" s="433"/>
      <c r="B204" s="433"/>
      <c r="C204" s="433"/>
      <c r="D204" s="433"/>
      <c r="E204" s="433"/>
      <c r="F204" s="433"/>
      <c r="G204" s="433"/>
      <c r="H204" s="433"/>
      <c r="I204" s="433"/>
      <c r="J204" s="433"/>
      <c r="K204" s="433"/>
    </row>
    <row r="205" ht="13.5" customHeight="1">
      <c r="K205" s="1" t="s">
        <v>588</v>
      </c>
    </row>
    <row r="206" spans="1:11" ht="26.25">
      <c r="A206" s="431" t="s">
        <v>11</v>
      </c>
      <c r="B206" s="431" t="s">
        <v>500</v>
      </c>
      <c r="C206" s="431"/>
      <c r="D206" s="431" t="s">
        <v>501</v>
      </c>
      <c r="E206" s="431"/>
      <c r="F206" s="431" t="s">
        <v>502</v>
      </c>
      <c r="G206" s="431"/>
      <c r="H206" s="431" t="s">
        <v>25</v>
      </c>
      <c r="I206" s="431"/>
      <c r="J206" s="31" t="s">
        <v>503</v>
      </c>
      <c r="K206" s="33"/>
    </row>
    <row r="207" spans="1:11" ht="26.25">
      <c r="A207" s="431"/>
      <c r="B207" s="4" t="s">
        <v>12</v>
      </c>
      <c r="C207" s="4" t="s">
        <v>13</v>
      </c>
      <c r="D207" s="4" t="s">
        <v>12</v>
      </c>
      <c r="E207" s="4" t="s">
        <v>13</v>
      </c>
      <c r="F207" s="4" t="s">
        <v>12</v>
      </c>
      <c r="G207" s="4" t="s">
        <v>13</v>
      </c>
      <c r="H207" s="4" t="s">
        <v>12</v>
      </c>
      <c r="I207" s="4" t="s">
        <v>13</v>
      </c>
      <c r="J207" s="4" t="s">
        <v>12</v>
      </c>
      <c r="K207" s="4" t="s">
        <v>13</v>
      </c>
    </row>
    <row r="208" spans="1:11" ht="12.75">
      <c r="A208" s="4">
        <v>1</v>
      </c>
      <c r="B208" s="4">
        <v>2</v>
      </c>
      <c r="C208" s="4">
        <v>3</v>
      </c>
      <c r="D208" s="4">
        <v>4</v>
      </c>
      <c r="E208" s="4">
        <v>5</v>
      </c>
      <c r="F208" s="4">
        <v>6</v>
      </c>
      <c r="G208" s="4">
        <v>7</v>
      </c>
      <c r="H208" s="4">
        <v>8</v>
      </c>
      <c r="I208" s="4">
        <v>9</v>
      </c>
      <c r="J208" s="4">
        <v>10</v>
      </c>
      <c r="K208" s="4">
        <v>11</v>
      </c>
    </row>
    <row r="209" spans="1:11" ht="33" customHeight="1">
      <c r="A209" s="4" t="s">
        <v>534</v>
      </c>
      <c r="B209" s="9">
        <v>10808959</v>
      </c>
      <c r="C209" s="9">
        <v>0</v>
      </c>
      <c r="D209" s="9">
        <f>25195600-D210-D211-D212-D214+455700</f>
        <v>4086300.880000001</v>
      </c>
      <c r="E209" s="4">
        <v>0</v>
      </c>
      <c r="F209" s="204">
        <f>'Розрах. поточ.'!H62-БЗ!F210-БЗ!F211-БЗ!F212-БЗ!F214</f>
        <v>22228545</v>
      </c>
      <c r="G209" s="4">
        <v>0</v>
      </c>
      <c r="H209" s="203">
        <f>44603192-H210-H211-H212-H214</f>
        <v>22229777</v>
      </c>
      <c r="I209" s="4">
        <v>0</v>
      </c>
      <c r="J209" s="203">
        <f>44731259-J210-J211-J212-J214</f>
        <v>22231047</v>
      </c>
      <c r="K209" s="4"/>
    </row>
    <row r="210" spans="1:11" ht="26.25">
      <c r="A210" s="4" t="s">
        <v>112</v>
      </c>
      <c r="B210" s="9">
        <v>4334649.51</v>
      </c>
      <c r="C210" s="9">
        <v>0</v>
      </c>
      <c r="D210" s="9">
        <f>5177261.52+17739</f>
        <v>5195000.52</v>
      </c>
      <c r="E210" s="4">
        <v>0</v>
      </c>
      <c r="F210" s="203">
        <v>828000</v>
      </c>
      <c r="G210" s="4">
        <v>0</v>
      </c>
      <c r="H210" s="4">
        <v>828000</v>
      </c>
      <c r="I210" s="4">
        <v>0</v>
      </c>
      <c r="J210" s="4">
        <v>828000</v>
      </c>
      <c r="K210" s="4"/>
    </row>
    <row r="211" spans="1:11" ht="12.75">
      <c r="A211" s="4" t="s">
        <v>113</v>
      </c>
      <c r="B211" s="9">
        <v>4829622.44</v>
      </c>
      <c r="C211" s="9">
        <v>0</v>
      </c>
      <c r="D211" s="9">
        <v>10577541.6</v>
      </c>
      <c r="E211" s="4">
        <v>0</v>
      </c>
      <c r="F211" s="203">
        <f>'Розрах. поточ.'!H38</f>
        <v>15030662</v>
      </c>
      <c r="G211" s="4">
        <v>0</v>
      </c>
      <c r="H211" s="4">
        <v>15030662</v>
      </c>
      <c r="I211" s="4">
        <v>0</v>
      </c>
      <c r="J211" s="4">
        <v>15030662</v>
      </c>
      <c r="K211" s="4"/>
    </row>
    <row r="212" spans="1:11" ht="26.25">
      <c r="A212" s="4" t="s">
        <v>114</v>
      </c>
      <c r="B212" s="9">
        <v>3405493</v>
      </c>
      <c r="C212" s="9">
        <v>0</v>
      </c>
      <c r="D212" s="9">
        <f>2455699+2475206</f>
        <v>4930905</v>
      </c>
      <c r="E212" s="4">
        <v>0</v>
      </c>
      <c r="F212" s="203">
        <f>'Розрах. поточ.'!H56+'Розрах. поточ.'!H53</f>
        <v>6239283</v>
      </c>
      <c r="G212" s="4">
        <v>0</v>
      </c>
      <c r="H212" s="4">
        <f>3109889+3129392</f>
        <v>6239281</v>
      </c>
      <c r="I212" s="4">
        <v>0</v>
      </c>
      <c r="J212" s="4">
        <f>3109889+3129392</f>
        <v>6239281</v>
      </c>
      <c r="K212" s="4"/>
    </row>
    <row r="213" spans="1:11" ht="12.75">
      <c r="A213" s="4" t="s">
        <v>115</v>
      </c>
      <c r="B213" s="9">
        <v>2769830.59</v>
      </c>
      <c r="C213" s="9">
        <v>0</v>
      </c>
      <c r="D213" s="9">
        <f>G62-D209-D210-D211-D212-D214</f>
        <v>11849500</v>
      </c>
      <c r="E213" s="4">
        <v>0</v>
      </c>
      <c r="F213" s="4"/>
      <c r="G213" s="4">
        <v>0</v>
      </c>
      <c r="H213" s="4"/>
      <c r="I213" s="4">
        <v>0</v>
      </c>
      <c r="J213" s="4"/>
      <c r="K213" s="4"/>
    </row>
    <row r="214" spans="1:11" ht="12.75">
      <c r="A214" s="4" t="s">
        <v>116</v>
      </c>
      <c r="B214" s="9">
        <v>128344.47</v>
      </c>
      <c r="C214" s="9">
        <v>0</v>
      </c>
      <c r="D214" s="9">
        <v>861552</v>
      </c>
      <c r="E214" s="4">
        <v>0</v>
      </c>
      <c r="F214" s="203">
        <f>'Розрах. поточ.'!H59</f>
        <v>543910</v>
      </c>
      <c r="G214" s="4">
        <v>0</v>
      </c>
      <c r="H214" s="203">
        <v>275472</v>
      </c>
      <c r="I214" s="4">
        <v>0</v>
      </c>
      <c r="J214" s="203">
        <v>402269</v>
      </c>
      <c r="K214" s="4"/>
    </row>
    <row r="215" spans="1:11" s="411" customFormat="1" ht="12.75">
      <c r="A215" s="408" t="s">
        <v>23</v>
      </c>
      <c r="B215" s="409">
        <f aca="true" t="shared" si="19" ref="B215:J215">SUM(B209:B214)</f>
        <v>26276899.009999998</v>
      </c>
      <c r="C215" s="409">
        <f t="shared" si="19"/>
        <v>0</v>
      </c>
      <c r="D215" s="409">
        <f t="shared" si="19"/>
        <v>37500800</v>
      </c>
      <c r="E215" s="408">
        <f t="shared" si="19"/>
        <v>0</v>
      </c>
      <c r="F215" s="408">
        <f t="shared" si="19"/>
        <v>44870400</v>
      </c>
      <c r="G215" s="408">
        <f t="shared" si="19"/>
        <v>0</v>
      </c>
      <c r="H215" s="410">
        <f>SUM(H209:H214)</f>
        <v>44603192</v>
      </c>
      <c r="I215" s="408">
        <f t="shared" si="19"/>
        <v>0</v>
      </c>
      <c r="J215" s="408">
        <f t="shared" si="19"/>
        <v>44731259</v>
      </c>
      <c r="K215" s="408">
        <f>SUM(K209:K214)</f>
        <v>0</v>
      </c>
    </row>
    <row r="216" spans="1:11" ht="92.25">
      <c r="A216" s="4" t="s">
        <v>44</v>
      </c>
      <c r="B216" s="4" t="s">
        <v>20</v>
      </c>
      <c r="C216" s="4" t="s">
        <v>18</v>
      </c>
      <c r="D216" s="4" t="s">
        <v>20</v>
      </c>
      <c r="E216" s="4" t="s">
        <v>18</v>
      </c>
      <c r="F216" s="4" t="s">
        <v>18</v>
      </c>
      <c r="G216" s="4" t="s">
        <v>18</v>
      </c>
      <c r="H216" s="4" t="s">
        <v>18</v>
      </c>
      <c r="I216" s="4" t="s">
        <v>18</v>
      </c>
      <c r="J216" s="4" t="s">
        <v>20</v>
      </c>
      <c r="K216" s="4" t="s">
        <v>20</v>
      </c>
    </row>
    <row r="217" spans="12:14" ht="12.75">
      <c r="L217" s="16"/>
      <c r="M217" s="16"/>
      <c r="N217" s="16"/>
    </row>
    <row r="218" spans="1:10" ht="12.75">
      <c r="A218" s="433" t="s">
        <v>45</v>
      </c>
      <c r="B218" s="433"/>
      <c r="C218" s="433"/>
      <c r="D218" s="433"/>
      <c r="E218" s="433"/>
      <c r="F218" s="433"/>
      <c r="G218" s="433"/>
      <c r="H218" s="433"/>
      <c r="I218" s="433"/>
      <c r="J218" s="433"/>
    </row>
    <row r="220" spans="1:16" ht="12.75">
      <c r="A220" s="431" t="s">
        <v>33</v>
      </c>
      <c r="B220" s="431" t="s">
        <v>46</v>
      </c>
      <c r="C220" s="431" t="s">
        <v>500</v>
      </c>
      <c r="D220" s="431"/>
      <c r="E220" s="431"/>
      <c r="F220" s="431"/>
      <c r="G220" s="431" t="s">
        <v>532</v>
      </c>
      <c r="H220" s="431"/>
      <c r="I220" s="431"/>
      <c r="J220" s="431"/>
      <c r="K220" s="431" t="s">
        <v>133</v>
      </c>
      <c r="L220" s="431"/>
      <c r="M220" s="431" t="s">
        <v>134</v>
      </c>
      <c r="N220" s="431"/>
      <c r="O220" s="431" t="s">
        <v>134</v>
      </c>
      <c r="P220" s="431"/>
    </row>
    <row r="221" spans="1:16" ht="26.25">
      <c r="A221" s="431"/>
      <c r="B221" s="431"/>
      <c r="C221" s="431" t="s">
        <v>12</v>
      </c>
      <c r="D221" s="431"/>
      <c r="E221" s="431" t="s">
        <v>13</v>
      </c>
      <c r="F221" s="431"/>
      <c r="G221" s="431" t="s">
        <v>12</v>
      </c>
      <c r="H221" s="431"/>
      <c r="I221" s="431" t="s">
        <v>13</v>
      </c>
      <c r="J221" s="431"/>
      <c r="K221" s="4" t="s">
        <v>12</v>
      </c>
      <c r="L221" s="4" t="s">
        <v>13</v>
      </c>
      <c r="M221" s="4" t="s">
        <v>12</v>
      </c>
      <c r="N221" s="4" t="s">
        <v>13</v>
      </c>
      <c r="O221" s="4" t="s">
        <v>12</v>
      </c>
      <c r="P221" s="4" t="s">
        <v>13</v>
      </c>
    </row>
    <row r="222" spans="1:16" ht="26.25">
      <c r="A222" s="431"/>
      <c r="B222" s="431"/>
      <c r="C222" s="4" t="s">
        <v>47</v>
      </c>
      <c r="D222" s="4" t="s">
        <v>48</v>
      </c>
      <c r="E222" s="4" t="s">
        <v>47</v>
      </c>
      <c r="F222" s="4" t="s">
        <v>48</v>
      </c>
      <c r="G222" s="4" t="s">
        <v>47</v>
      </c>
      <c r="H222" s="4" t="s">
        <v>48</v>
      </c>
      <c r="I222" s="4" t="s">
        <v>47</v>
      </c>
      <c r="J222" s="4" t="s">
        <v>48</v>
      </c>
      <c r="K222" s="4"/>
      <c r="L222" s="4"/>
      <c r="M222" s="4"/>
      <c r="N222" s="4"/>
      <c r="O222" s="4"/>
      <c r="P222" s="4"/>
    </row>
    <row r="223" spans="1:16" ht="12.75">
      <c r="A223" s="4">
        <v>1</v>
      </c>
      <c r="B223" s="4">
        <v>2</v>
      </c>
      <c r="C223" s="4">
        <v>3</v>
      </c>
      <c r="D223" s="4">
        <v>4</v>
      </c>
      <c r="E223" s="4">
        <v>5</v>
      </c>
      <c r="F223" s="4">
        <v>6</v>
      </c>
      <c r="G223" s="4">
        <v>7</v>
      </c>
      <c r="H223" s="4">
        <v>8</v>
      </c>
      <c r="I223" s="4">
        <v>9</v>
      </c>
      <c r="J223" s="4">
        <v>10</v>
      </c>
      <c r="K223" s="4">
        <v>11</v>
      </c>
      <c r="L223" s="4">
        <v>12</v>
      </c>
      <c r="M223" s="4">
        <v>13</v>
      </c>
      <c r="N223" s="4">
        <v>14</v>
      </c>
      <c r="O223" s="4">
        <v>15</v>
      </c>
      <c r="P223" s="4">
        <v>16</v>
      </c>
    </row>
    <row r="224" spans="1:16" ht="12.75">
      <c r="A224" s="4"/>
      <c r="B224" s="15" t="s">
        <v>117</v>
      </c>
      <c r="C224" s="4">
        <v>1</v>
      </c>
      <c r="D224" s="4">
        <f>C224</f>
        <v>1</v>
      </c>
      <c r="E224" s="4">
        <v>0</v>
      </c>
      <c r="F224" s="4">
        <v>0</v>
      </c>
      <c r="G224" s="4">
        <v>1</v>
      </c>
      <c r="H224" s="4">
        <f>G224</f>
        <v>1</v>
      </c>
      <c r="I224" s="4">
        <v>0</v>
      </c>
      <c r="J224" s="4">
        <v>0</v>
      </c>
      <c r="K224" s="4">
        <v>1</v>
      </c>
      <c r="L224" s="4">
        <v>0</v>
      </c>
      <c r="M224" s="4">
        <v>1</v>
      </c>
      <c r="N224" s="4">
        <v>0</v>
      </c>
      <c r="O224" s="4">
        <v>1</v>
      </c>
      <c r="P224" s="4">
        <v>0</v>
      </c>
    </row>
    <row r="225" spans="1:16" ht="12.75">
      <c r="A225" s="4"/>
      <c r="B225" s="15" t="s">
        <v>118</v>
      </c>
      <c r="C225" s="4">
        <f>3+4</f>
        <v>7</v>
      </c>
      <c r="D225" s="4">
        <f>C225</f>
        <v>7</v>
      </c>
      <c r="E225" s="4">
        <v>0</v>
      </c>
      <c r="F225" s="4">
        <v>0</v>
      </c>
      <c r="G225" s="4">
        <v>7</v>
      </c>
      <c r="H225" s="4">
        <f>G225</f>
        <v>7</v>
      </c>
      <c r="I225" s="4">
        <v>0</v>
      </c>
      <c r="J225" s="4">
        <v>0</v>
      </c>
      <c r="K225" s="4">
        <v>7</v>
      </c>
      <c r="L225" s="4">
        <v>0</v>
      </c>
      <c r="M225" s="4">
        <v>7</v>
      </c>
      <c r="N225" s="4">
        <v>0</v>
      </c>
      <c r="O225" s="4">
        <v>7</v>
      </c>
      <c r="P225" s="4">
        <v>0</v>
      </c>
    </row>
    <row r="226" spans="1:16" ht="12.75">
      <c r="A226" s="4" t="s">
        <v>18</v>
      </c>
      <c r="B226" s="15" t="s">
        <v>131</v>
      </c>
      <c r="C226" s="4">
        <f>192-4</f>
        <v>188</v>
      </c>
      <c r="D226" s="4">
        <f>C226</f>
        <v>188</v>
      </c>
      <c r="E226" s="4">
        <v>0</v>
      </c>
      <c r="F226" s="4">
        <v>0</v>
      </c>
      <c r="G226" s="4">
        <f>200-G224-G225</f>
        <v>192</v>
      </c>
      <c r="H226" s="4">
        <f>G226</f>
        <v>192</v>
      </c>
      <c r="I226" s="4">
        <v>0</v>
      </c>
      <c r="J226" s="4">
        <v>0</v>
      </c>
      <c r="K226" s="4">
        <f>200-K224-K225</f>
        <v>192</v>
      </c>
      <c r="L226" s="4">
        <v>0</v>
      </c>
      <c r="M226" s="4">
        <f>200-M224-M225</f>
        <v>192</v>
      </c>
      <c r="N226" s="4">
        <v>0</v>
      </c>
      <c r="O226" s="4">
        <f>200-O224-O225</f>
        <v>192</v>
      </c>
      <c r="P226" s="4">
        <v>0</v>
      </c>
    </row>
    <row r="227" spans="1:16" ht="12.75">
      <c r="A227" s="4" t="s">
        <v>18</v>
      </c>
      <c r="B227" s="4" t="s">
        <v>23</v>
      </c>
      <c r="C227" s="4">
        <f aca="true" t="shared" si="20" ref="C227:P227">SUM(C224:C226)</f>
        <v>196</v>
      </c>
      <c r="D227" s="4">
        <f t="shared" si="20"/>
        <v>196</v>
      </c>
      <c r="E227" s="4">
        <f t="shared" si="20"/>
        <v>0</v>
      </c>
      <c r="F227" s="4">
        <f t="shared" si="20"/>
        <v>0</v>
      </c>
      <c r="G227" s="4">
        <f t="shared" si="20"/>
        <v>200</v>
      </c>
      <c r="H227" s="4">
        <f t="shared" si="20"/>
        <v>200</v>
      </c>
      <c r="I227" s="4">
        <f t="shared" si="20"/>
        <v>0</v>
      </c>
      <c r="J227" s="4">
        <f t="shared" si="20"/>
        <v>0</v>
      </c>
      <c r="K227" s="4">
        <f t="shared" si="20"/>
        <v>200</v>
      </c>
      <c r="L227" s="4">
        <f t="shared" si="20"/>
        <v>0</v>
      </c>
      <c r="M227" s="4">
        <f t="shared" si="20"/>
        <v>200</v>
      </c>
      <c r="N227" s="4">
        <f t="shared" si="20"/>
        <v>0</v>
      </c>
      <c r="O227" s="4">
        <f t="shared" si="20"/>
        <v>200</v>
      </c>
      <c r="P227" s="4">
        <f t="shared" si="20"/>
        <v>0</v>
      </c>
    </row>
    <row r="228" spans="1:16" ht="52.5">
      <c r="A228" s="4" t="s">
        <v>18</v>
      </c>
      <c r="B228" s="4" t="s">
        <v>49</v>
      </c>
      <c r="C228" s="4" t="s">
        <v>20</v>
      </c>
      <c r="D228" s="4" t="s">
        <v>20</v>
      </c>
      <c r="E228" s="4" t="s">
        <v>18</v>
      </c>
      <c r="F228" s="4" t="s">
        <v>18</v>
      </c>
      <c r="G228" s="4" t="s">
        <v>20</v>
      </c>
      <c r="H228" s="4" t="s">
        <v>20</v>
      </c>
      <c r="I228" s="4" t="s">
        <v>18</v>
      </c>
      <c r="J228" s="4" t="s">
        <v>18</v>
      </c>
      <c r="K228" s="4" t="s">
        <v>20</v>
      </c>
      <c r="L228" s="4" t="s">
        <v>18</v>
      </c>
      <c r="M228" s="4" t="s">
        <v>20</v>
      </c>
      <c r="N228" s="4" t="s">
        <v>18</v>
      </c>
      <c r="O228" s="4" t="s">
        <v>20</v>
      </c>
      <c r="P228" s="4" t="s">
        <v>18</v>
      </c>
    </row>
    <row r="229" spans="11:12" ht="13.5" customHeight="1">
      <c r="K229" s="20"/>
      <c r="L229" s="20"/>
    </row>
    <row r="230" spans="1:12" ht="13.5" customHeight="1">
      <c r="A230" s="20" t="s">
        <v>157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1:16" ht="12.75">
      <c r="A231" s="433" t="s">
        <v>533</v>
      </c>
      <c r="B231" s="433"/>
      <c r="C231" s="433"/>
      <c r="D231" s="433"/>
      <c r="E231" s="433"/>
      <c r="F231" s="433"/>
      <c r="G231" s="433"/>
      <c r="H231" s="433"/>
      <c r="I231" s="433"/>
      <c r="J231" s="433"/>
      <c r="K231" s="433"/>
      <c r="L231" s="433"/>
      <c r="M231" s="433"/>
      <c r="N231" s="433"/>
      <c r="O231" s="433"/>
      <c r="P231" s="433"/>
    </row>
    <row r="232" spans="1:12" ht="13.5" customHeight="1">
      <c r="A232" s="430" t="s">
        <v>9</v>
      </c>
      <c r="B232" s="430"/>
      <c r="C232" s="430"/>
      <c r="D232" s="430"/>
      <c r="E232" s="430"/>
      <c r="F232" s="430"/>
      <c r="G232" s="430"/>
      <c r="H232" s="430"/>
      <c r="I232" s="430"/>
      <c r="J232" s="430"/>
      <c r="K232" s="430"/>
      <c r="L232" s="430"/>
    </row>
    <row r="233" spans="1:12" ht="26.25">
      <c r="A233" s="431" t="s">
        <v>31</v>
      </c>
      <c r="B233" s="431" t="s">
        <v>50</v>
      </c>
      <c r="C233" s="431" t="s">
        <v>51</v>
      </c>
      <c r="D233" s="431" t="s">
        <v>500</v>
      </c>
      <c r="E233" s="431"/>
      <c r="F233" s="431"/>
      <c r="G233" s="431" t="s">
        <v>501</v>
      </c>
      <c r="H233" s="431"/>
      <c r="I233" s="431"/>
      <c r="J233" s="31" t="s">
        <v>502</v>
      </c>
      <c r="K233" s="32"/>
      <c r="L233" s="33"/>
    </row>
    <row r="234" spans="1:12" ht="26.25">
      <c r="A234" s="431"/>
      <c r="B234" s="431"/>
      <c r="C234" s="431"/>
      <c r="D234" s="4" t="s">
        <v>12</v>
      </c>
      <c r="E234" s="4" t="s">
        <v>13</v>
      </c>
      <c r="F234" s="4" t="s">
        <v>52</v>
      </c>
      <c r="G234" s="4" t="s">
        <v>12</v>
      </c>
      <c r="H234" s="4" t="s">
        <v>13</v>
      </c>
      <c r="I234" s="4" t="s">
        <v>16</v>
      </c>
      <c r="J234" s="4" t="s">
        <v>12</v>
      </c>
      <c r="K234" s="4" t="s">
        <v>13</v>
      </c>
      <c r="L234" s="4" t="s">
        <v>53</v>
      </c>
    </row>
    <row r="235" spans="1:12" ht="12.75">
      <c r="A235" s="4">
        <v>1</v>
      </c>
      <c r="B235" s="4">
        <v>2</v>
      </c>
      <c r="C235" s="4">
        <v>3</v>
      </c>
      <c r="D235" s="4">
        <v>4</v>
      </c>
      <c r="E235" s="4">
        <v>5</v>
      </c>
      <c r="F235" s="4">
        <v>6</v>
      </c>
      <c r="G235" s="4">
        <v>7</v>
      </c>
      <c r="H235" s="4">
        <v>8</v>
      </c>
      <c r="I235" s="4">
        <v>9</v>
      </c>
      <c r="J235" s="4">
        <v>10</v>
      </c>
      <c r="K235" s="4">
        <v>11</v>
      </c>
      <c r="L235" s="4">
        <v>12</v>
      </c>
    </row>
    <row r="236" spans="1:12" ht="39">
      <c r="A236" s="4">
        <v>1</v>
      </c>
      <c r="B236" s="4" t="s">
        <v>697</v>
      </c>
      <c r="C236" s="4" t="s">
        <v>135</v>
      </c>
      <c r="D236" s="4">
        <v>872528</v>
      </c>
      <c r="E236" s="4">
        <v>304446</v>
      </c>
      <c r="F236" s="4">
        <f>D236+E236</f>
        <v>1176974</v>
      </c>
      <c r="G236" s="4">
        <v>962396</v>
      </c>
      <c r="H236" s="4">
        <f>I78</f>
        <v>501200</v>
      </c>
      <c r="I236" s="4">
        <f>G236+H236</f>
        <v>1463596</v>
      </c>
      <c r="J236" s="204">
        <f>'Розрах. поточ.'!H300</f>
        <v>836155</v>
      </c>
      <c r="K236" s="204">
        <f>'Кап.2020'!F17</f>
        <v>517200</v>
      </c>
      <c r="L236" s="4">
        <f>J236+K236</f>
        <v>1353355</v>
      </c>
    </row>
    <row r="237" spans="1:12" ht="52.5">
      <c r="A237" s="4">
        <v>2</v>
      </c>
      <c r="B237" s="4" t="s">
        <v>673</v>
      </c>
      <c r="C237" s="4"/>
      <c r="D237" s="4"/>
      <c r="E237" s="4"/>
      <c r="F237" s="4">
        <f>D237+E237</f>
        <v>0</v>
      </c>
      <c r="G237" s="4"/>
      <c r="H237" s="4"/>
      <c r="I237" s="4">
        <f>G237+H237</f>
        <v>0</v>
      </c>
      <c r="J237" s="204">
        <f>'Розрах. поточ.'!H268+'Розрах. поточ.'!H269</f>
        <v>198003</v>
      </c>
      <c r="K237" s="204"/>
      <c r="L237" s="204">
        <f>J237+K237</f>
        <v>198003</v>
      </c>
    </row>
    <row r="238" spans="1:12" ht="12.75">
      <c r="A238" s="4" t="s">
        <v>18</v>
      </c>
      <c r="B238" s="4" t="s">
        <v>23</v>
      </c>
      <c r="C238" s="10" t="s">
        <v>18</v>
      </c>
      <c r="D238" s="10">
        <f>D236+D237</f>
        <v>872528</v>
      </c>
      <c r="E238" s="10">
        <f>E236+E237</f>
        <v>304446</v>
      </c>
      <c r="F238" s="10">
        <f>F236+F237</f>
        <v>1176974</v>
      </c>
      <c r="G238" s="10">
        <f>G236+G237</f>
        <v>962396</v>
      </c>
      <c r="H238" s="10">
        <f>H236+H237</f>
        <v>501200</v>
      </c>
      <c r="I238" s="10">
        <f>I236+I237</f>
        <v>1463596</v>
      </c>
      <c r="J238" s="366">
        <f>SUM(J236:J237)</f>
        <v>1034158</v>
      </c>
      <c r="K238" s="366">
        <f>SUM(K236:K237)</f>
        <v>517200</v>
      </c>
      <c r="L238" s="366">
        <f>SUM(L236:L237)</f>
        <v>1551358</v>
      </c>
    </row>
    <row r="240" spans="1:9" ht="12.75">
      <c r="A240" s="433" t="s">
        <v>643</v>
      </c>
      <c r="B240" s="433"/>
      <c r="C240" s="433"/>
      <c r="D240" s="433"/>
      <c r="E240" s="433"/>
      <c r="F240" s="433"/>
      <c r="G240" s="433"/>
      <c r="H240" s="433"/>
      <c r="I240" s="433"/>
    </row>
    <row r="241" ht="12.75">
      <c r="A241" s="3" t="s">
        <v>9</v>
      </c>
    </row>
    <row r="243" spans="1:9" ht="12.75">
      <c r="A243" s="431" t="s">
        <v>33</v>
      </c>
      <c r="B243" s="431" t="s">
        <v>50</v>
      </c>
      <c r="C243" s="431" t="s">
        <v>51</v>
      </c>
      <c r="D243" s="431" t="s">
        <v>25</v>
      </c>
      <c r="E243" s="431"/>
      <c r="F243" s="431"/>
      <c r="G243" s="431" t="s">
        <v>503</v>
      </c>
      <c r="H243" s="431"/>
      <c r="I243" s="431"/>
    </row>
    <row r="244" spans="1:9" ht="26.25">
      <c r="A244" s="431"/>
      <c r="B244" s="431"/>
      <c r="C244" s="431"/>
      <c r="D244" s="4" t="s">
        <v>12</v>
      </c>
      <c r="E244" s="4" t="s">
        <v>13</v>
      </c>
      <c r="F244" s="4" t="s">
        <v>52</v>
      </c>
      <c r="G244" s="4" t="s">
        <v>12</v>
      </c>
      <c r="H244" s="4" t="s">
        <v>13</v>
      </c>
      <c r="I244" s="4" t="s">
        <v>16</v>
      </c>
    </row>
    <row r="245" spans="1:9" ht="12.75">
      <c r="A245" s="4">
        <v>1</v>
      </c>
      <c r="B245" s="4">
        <v>2</v>
      </c>
      <c r="C245" s="4">
        <v>3</v>
      </c>
      <c r="D245" s="4">
        <v>4</v>
      </c>
      <c r="E245" s="4">
        <v>5</v>
      </c>
      <c r="F245" s="4">
        <v>6</v>
      </c>
      <c r="G245" s="4">
        <v>7</v>
      </c>
      <c r="H245" s="4">
        <v>8</v>
      </c>
      <c r="I245" s="4">
        <v>9</v>
      </c>
    </row>
    <row r="246" spans="1:9" ht="39">
      <c r="A246" s="4">
        <v>1</v>
      </c>
      <c r="B246" s="4" t="s">
        <v>697</v>
      </c>
      <c r="C246" s="4" t="s">
        <v>135</v>
      </c>
      <c r="D246" s="204">
        <f>'Розрах. поточ.'!J300</f>
        <v>903048</v>
      </c>
      <c r="E246" s="204">
        <f>'Кап.2021'!F13</f>
        <v>544600</v>
      </c>
      <c r="F246" s="4">
        <f>D246+E246</f>
        <v>1447648</v>
      </c>
      <c r="G246" s="367">
        <f>'Розрах. поточ.'!L300</f>
        <v>958134</v>
      </c>
      <c r="H246" s="367">
        <f>'Кап.2022'!F14</f>
        <v>572400</v>
      </c>
      <c r="I246" s="367">
        <f>G246+H246</f>
        <v>1530534</v>
      </c>
    </row>
    <row r="247" spans="1:9" ht="66">
      <c r="A247" s="4">
        <v>2</v>
      </c>
      <c r="B247" s="4" t="s">
        <v>632</v>
      </c>
      <c r="C247" s="4"/>
      <c r="D247" s="204">
        <f>'Розрах. поточ.'!J268+'Розрах. поточ.'!J269</f>
        <v>260000</v>
      </c>
      <c r="E247" s="4"/>
      <c r="F247" s="4">
        <f>D247+E247</f>
        <v>260000</v>
      </c>
      <c r="G247" s="367">
        <f>'Розрах. поточ.'!L268+'Розрах. поточ.'!L269</f>
        <v>273260</v>
      </c>
      <c r="H247" s="367"/>
      <c r="I247" s="367">
        <f>G247+H247</f>
        <v>273260</v>
      </c>
    </row>
    <row r="248" spans="1:9" ht="12.75">
      <c r="A248" s="4" t="s">
        <v>18</v>
      </c>
      <c r="B248" s="4" t="s">
        <v>23</v>
      </c>
      <c r="C248" s="10" t="s">
        <v>18</v>
      </c>
      <c r="D248" s="366">
        <f aca="true" t="shared" si="21" ref="D248:I248">SUM(D246:D247)</f>
        <v>1163048</v>
      </c>
      <c r="E248" s="366">
        <f t="shared" si="21"/>
        <v>544600</v>
      </c>
      <c r="F248" s="366">
        <f t="shared" si="21"/>
        <v>1707648</v>
      </c>
      <c r="G248" s="366">
        <f t="shared" si="21"/>
        <v>1231394</v>
      </c>
      <c r="H248" s="366">
        <f t="shared" si="21"/>
        <v>572400</v>
      </c>
      <c r="I248" s="366">
        <f t="shared" si="21"/>
        <v>1803794</v>
      </c>
    </row>
    <row r="249" spans="11:13" ht="13.5" customHeight="1">
      <c r="K249" s="16"/>
      <c r="L249" s="16"/>
      <c r="M249" s="16"/>
    </row>
    <row r="250" spans="1:12" ht="12.75">
      <c r="A250" s="433" t="s">
        <v>633</v>
      </c>
      <c r="B250" s="433"/>
      <c r="C250" s="433"/>
      <c r="D250" s="433"/>
      <c r="E250" s="433"/>
      <c r="F250" s="433"/>
      <c r="G250" s="433"/>
      <c r="H250" s="433"/>
      <c r="I250" s="433"/>
      <c r="J250" s="433"/>
      <c r="K250" s="433"/>
      <c r="L250" s="433"/>
    </row>
    <row r="251" spans="1:13" ht="12.75">
      <c r="A251" s="430" t="s">
        <v>9</v>
      </c>
      <c r="B251" s="430"/>
      <c r="C251" s="430"/>
      <c r="D251" s="430"/>
      <c r="E251" s="430"/>
      <c r="F251" s="430"/>
      <c r="G251" s="430"/>
      <c r="H251" s="430"/>
      <c r="I251" s="430"/>
      <c r="J251" s="430"/>
      <c r="K251" s="430"/>
      <c r="L251" s="430"/>
      <c r="M251" s="430"/>
    </row>
    <row r="252" spans="1:13" ht="26.25">
      <c r="A252" s="437" t="s">
        <v>54</v>
      </c>
      <c r="B252" s="437" t="s">
        <v>55</v>
      </c>
      <c r="C252" s="431" t="s">
        <v>56</v>
      </c>
      <c r="D252" s="431" t="s">
        <v>500</v>
      </c>
      <c r="E252" s="431"/>
      <c r="F252" s="431" t="s">
        <v>501</v>
      </c>
      <c r="G252" s="431"/>
      <c r="H252" s="431" t="s">
        <v>502</v>
      </c>
      <c r="I252" s="431"/>
      <c r="J252" s="31" t="s">
        <v>25</v>
      </c>
      <c r="K252" s="33"/>
      <c r="L252" s="431" t="s">
        <v>503</v>
      </c>
      <c r="M252" s="431"/>
    </row>
    <row r="253" spans="1:13" ht="118.5">
      <c r="A253" s="438"/>
      <c r="B253" s="438"/>
      <c r="C253" s="431"/>
      <c r="D253" s="4" t="s">
        <v>57</v>
      </c>
      <c r="E253" s="4" t="s">
        <v>58</v>
      </c>
      <c r="F253" s="4" t="s">
        <v>57</v>
      </c>
      <c r="G253" s="4" t="s">
        <v>58</v>
      </c>
      <c r="H253" s="4" t="s">
        <v>57</v>
      </c>
      <c r="I253" s="4" t="s">
        <v>58</v>
      </c>
      <c r="J253" s="4" t="s">
        <v>57</v>
      </c>
      <c r="K253" s="4" t="s">
        <v>58</v>
      </c>
      <c r="L253" s="4" t="s">
        <v>57</v>
      </c>
      <c r="M253" s="4" t="s">
        <v>58</v>
      </c>
    </row>
    <row r="254" spans="1:13" ht="12.75">
      <c r="A254" s="4">
        <v>1</v>
      </c>
      <c r="B254" s="4">
        <v>2</v>
      </c>
      <c r="C254" s="4">
        <v>3</v>
      </c>
      <c r="D254" s="4">
        <v>4</v>
      </c>
      <c r="E254" s="4">
        <v>5</v>
      </c>
      <c r="F254" s="4">
        <v>6</v>
      </c>
      <c r="G254" s="4">
        <v>7</v>
      </c>
      <c r="H254" s="4">
        <v>8</v>
      </c>
      <c r="I254" s="4">
        <v>9</v>
      </c>
      <c r="J254" s="4">
        <v>10</v>
      </c>
      <c r="K254" s="4">
        <v>11</v>
      </c>
      <c r="L254" s="4">
        <v>12</v>
      </c>
      <c r="M254" s="4">
        <v>13</v>
      </c>
    </row>
    <row r="255" spans="1:13" ht="12.75">
      <c r="A255" s="4" t="s">
        <v>18</v>
      </c>
      <c r="B255" s="4" t="s">
        <v>18</v>
      </c>
      <c r="C255" s="4" t="s">
        <v>18</v>
      </c>
      <c r="D255" s="4" t="s">
        <v>18</v>
      </c>
      <c r="E255" s="4" t="s">
        <v>18</v>
      </c>
      <c r="F255" s="4" t="s">
        <v>18</v>
      </c>
      <c r="G255" s="4" t="s">
        <v>18</v>
      </c>
      <c r="H255" s="4" t="s">
        <v>18</v>
      </c>
      <c r="I255" s="4" t="s">
        <v>18</v>
      </c>
      <c r="J255" s="4" t="s">
        <v>18</v>
      </c>
      <c r="K255" s="4" t="s">
        <v>18</v>
      </c>
      <c r="L255" s="4" t="s">
        <v>18</v>
      </c>
      <c r="M255" s="4" t="s">
        <v>18</v>
      </c>
    </row>
    <row r="256" spans="1:13" ht="12.75">
      <c r="A256" s="4" t="s">
        <v>18</v>
      </c>
      <c r="B256" s="4" t="s">
        <v>18</v>
      </c>
      <c r="C256" s="4" t="s">
        <v>18</v>
      </c>
      <c r="D256" s="4" t="s">
        <v>18</v>
      </c>
      <c r="E256" s="4" t="s">
        <v>18</v>
      </c>
      <c r="F256" s="4" t="s">
        <v>18</v>
      </c>
      <c r="G256" s="4" t="s">
        <v>18</v>
      </c>
      <c r="H256" s="4" t="s">
        <v>18</v>
      </c>
      <c r="I256" s="4" t="s">
        <v>18</v>
      </c>
      <c r="J256" s="4" t="s">
        <v>18</v>
      </c>
      <c r="K256" s="4" t="s">
        <v>18</v>
      </c>
      <c r="L256" s="4" t="s">
        <v>18</v>
      </c>
      <c r="M256" s="4" t="s">
        <v>18</v>
      </c>
    </row>
    <row r="259" spans="1:13" s="21" customFormat="1" ht="27" customHeight="1">
      <c r="A259" s="429" t="s">
        <v>698</v>
      </c>
      <c r="B259" s="429"/>
      <c r="C259" s="429"/>
      <c r="D259" s="429"/>
      <c r="E259" s="429"/>
      <c r="F259" s="429"/>
      <c r="G259" s="429"/>
      <c r="H259" s="429"/>
      <c r="I259" s="429"/>
      <c r="J259" s="429"/>
      <c r="K259" s="29"/>
      <c r="L259" s="29"/>
      <c r="M259" s="29"/>
    </row>
    <row r="260" spans="1:16" ht="120" customHeight="1">
      <c r="A260" s="445" t="s">
        <v>712</v>
      </c>
      <c r="B260" s="445"/>
      <c r="C260" s="445"/>
      <c r="D260" s="445"/>
      <c r="E260" s="445"/>
      <c r="F260" s="445"/>
      <c r="G260" s="445"/>
      <c r="H260" s="445"/>
      <c r="I260" s="445"/>
      <c r="J260" s="445"/>
      <c r="K260" s="445"/>
      <c r="L260" s="445"/>
      <c r="M260" s="445"/>
      <c r="N260" s="445"/>
      <c r="O260" s="445"/>
      <c r="P260" s="445"/>
    </row>
    <row r="261" spans="1:10" ht="12.75">
      <c r="A261" s="429" t="s">
        <v>634</v>
      </c>
      <c r="B261" s="429"/>
      <c r="C261" s="429"/>
      <c r="D261" s="429"/>
      <c r="E261" s="429"/>
      <c r="F261" s="429"/>
      <c r="G261" s="429"/>
      <c r="H261" s="429"/>
      <c r="I261" s="429"/>
      <c r="J261" s="429"/>
    </row>
    <row r="262" spans="1:10" ht="12.75">
      <c r="A262" s="429" t="s">
        <v>635</v>
      </c>
      <c r="B262" s="429"/>
      <c r="C262" s="429"/>
      <c r="D262" s="429"/>
      <c r="E262" s="429"/>
      <c r="F262" s="429"/>
      <c r="G262" s="429"/>
      <c r="H262" s="429"/>
      <c r="I262" s="429"/>
      <c r="J262" s="429"/>
    </row>
    <row r="263" ht="12.75">
      <c r="A263" s="3" t="s">
        <v>9</v>
      </c>
    </row>
    <row r="264" spans="1:10" ht="12.75">
      <c r="A264" s="431" t="s">
        <v>59</v>
      </c>
      <c r="B264" s="431" t="s">
        <v>11</v>
      </c>
      <c r="C264" s="431" t="s">
        <v>60</v>
      </c>
      <c r="D264" s="431" t="s">
        <v>61</v>
      </c>
      <c r="E264" s="431" t="s">
        <v>62</v>
      </c>
      <c r="F264" s="431" t="s">
        <v>63</v>
      </c>
      <c r="G264" s="431" t="s">
        <v>64</v>
      </c>
      <c r="H264" s="431" t="s">
        <v>65</v>
      </c>
      <c r="I264" s="431"/>
      <c r="J264" s="431" t="s">
        <v>66</v>
      </c>
    </row>
    <row r="265" spans="1:10" ht="26.25">
      <c r="A265" s="431"/>
      <c r="B265" s="431"/>
      <c r="C265" s="431"/>
      <c r="D265" s="431"/>
      <c r="E265" s="431"/>
      <c r="F265" s="431"/>
      <c r="G265" s="431"/>
      <c r="H265" s="4" t="s">
        <v>67</v>
      </c>
      <c r="I265" s="4" t="s">
        <v>68</v>
      </c>
      <c r="J265" s="431"/>
    </row>
    <row r="266" spans="1:10" ht="12.75">
      <c r="A266" s="4">
        <v>1</v>
      </c>
      <c r="B266" s="4">
        <v>2</v>
      </c>
      <c r="C266" s="4">
        <v>3</v>
      </c>
      <c r="D266" s="4">
        <v>4</v>
      </c>
      <c r="E266" s="4">
        <v>5</v>
      </c>
      <c r="F266" s="4">
        <v>6</v>
      </c>
      <c r="G266" s="4">
        <v>7</v>
      </c>
      <c r="H266" s="4">
        <v>8</v>
      </c>
      <c r="I266" s="4">
        <v>9</v>
      </c>
      <c r="J266" s="4">
        <v>10</v>
      </c>
    </row>
    <row r="267" spans="1:10" ht="12.75">
      <c r="A267" s="8" t="s">
        <v>87</v>
      </c>
      <c r="B267" s="10" t="s">
        <v>88</v>
      </c>
      <c r="C267" s="4">
        <v>26276900</v>
      </c>
      <c r="D267" s="4">
        <v>26276899.56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f>D267+F267</f>
        <v>26276899.56</v>
      </c>
    </row>
    <row r="268" spans="1:10" ht="26.25">
      <c r="A268" s="8" t="s">
        <v>89</v>
      </c>
      <c r="B268" s="10" t="s">
        <v>90</v>
      </c>
      <c r="C268" s="4">
        <v>5759058</v>
      </c>
      <c r="D268" s="4">
        <v>5758968.35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f aca="true" t="shared" si="22" ref="J268:J278">D268+F268</f>
        <v>5758968.35</v>
      </c>
    </row>
    <row r="269" spans="1:10" ht="26.25">
      <c r="A269" s="8" t="s">
        <v>91</v>
      </c>
      <c r="B269" s="10" t="s">
        <v>92</v>
      </c>
      <c r="C269" s="4">
        <v>992072</v>
      </c>
      <c r="D269" s="4">
        <v>992071.64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f t="shared" si="22"/>
        <v>992071.64</v>
      </c>
    </row>
    <row r="270" spans="1:10" ht="26.25">
      <c r="A270" s="8" t="s">
        <v>93</v>
      </c>
      <c r="B270" s="10" t="s">
        <v>94</v>
      </c>
      <c r="C270" s="4">
        <v>874035</v>
      </c>
      <c r="D270" s="4">
        <v>874034.9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f t="shared" si="22"/>
        <v>874034.9</v>
      </c>
    </row>
    <row r="271" spans="1:10" ht="12.75">
      <c r="A271" s="8" t="s">
        <v>95</v>
      </c>
      <c r="B271" s="15" t="s">
        <v>96</v>
      </c>
      <c r="C271" s="4">
        <v>9000</v>
      </c>
      <c r="D271" s="4">
        <v>7539.29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f t="shared" si="22"/>
        <v>7539.29</v>
      </c>
    </row>
    <row r="272" spans="1:10" ht="12.75">
      <c r="A272" s="8" t="s">
        <v>97</v>
      </c>
      <c r="B272" s="10" t="s">
        <v>98</v>
      </c>
      <c r="C272" s="4">
        <v>334991</v>
      </c>
      <c r="D272" s="4">
        <v>321658.58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f t="shared" si="22"/>
        <v>321658.58</v>
      </c>
    </row>
    <row r="273" spans="1:10" ht="26.25">
      <c r="A273" s="8" t="s">
        <v>99</v>
      </c>
      <c r="B273" s="10" t="s">
        <v>100</v>
      </c>
      <c r="C273" s="4">
        <v>23338</v>
      </c>
      <c r="D273" s="4">
        <v>23305.34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f t="shared" si="22"/>
        <v>23305.34</v>
      </c>
    </row>
    <row r="274" spans="1:10" ht="12.75">
      <c r="A274" s="8" t="s">
        <v>101</v>
      </c>
      <c r="B274" s="10" t="s">
        <v>102</v>
      </c>
      <c r="C274" s="4">
        <v>329777</v>
      </c>
      <c r="D274" s="4">
        <v>316271.97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f t="shared" si="22"/>
        <v>316271.97</v>
      </c>
    </row>
    <row r="275" spans="1:10" ht="12.75">
      <c r="A275" s="8" t="s">
        <v>103</v>
      </c>
      <c r="B275" s="10" t="s">
        <v>104</v>
      </c>
      <c r="C275" s="4">
        <v>51215</v>
      </c>
      <c r="D275" s="4">
        <v>41292.59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f t="shared" si="22"/>
        <v>41292.59</v>
      </c>
    </row>
    <row r="276" spans="1:10" ht="52.5">
      <c r="A276" s="8" t="s">
        <v>105</v>
      </c>
      <c r="B276" s="10" t="s">
        <v>106</v>
      </c>
      <c r="C276" s="4">
        <v>8900</v>
      </c>
      <c r="D276" s="4">
        <v>8819.6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f t="shared" si="22"/>
        <v>8819.6</v>
      </c>
    </row>
    <row r="277" spans="1:10" ht="12.75">
      <c r="A277" s="8" t="s">
        <v>107</v>
      </c>
      <c r="B277" s="10" t="s">
        <v>108</v>
      </c>
      <c r="C277" s="4">
        <v>157700</v>
      </c>
      <c r="D277" s="4">
        <v>156257.86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f t="shared" si="22"/>
        <v>156257.86</v>
      </c>
    </row>
    <row r="278" spans="1:10" ht="39">
      <c r="A278" s="8" t="s">
        <v>109</v>
      </c>
      <c r="B278" s="10" t="s">
        <v>84</v>
      </c>
      <c r="C278" s="4">
        <v>304447</v>
      </c>
      <c r="D278" s="4">
        <v>304446.6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f t="shared" si="22"/>
        <v>304446.6</v>
      </c>
    </row>
    <row r="279" spans="1:10" ht="12.75">
      <c r="A279" s="4" t="s">
        <v>18</v>
      </c>
      <c r="B279" s="4" t="s">
        <v>23</v>
      </c>
      <c r="C279" s="4">
        <f aca="true" t="shared" si="23" ref="C279:J279">SUM(C267:C278)</f>
        <v>35121433</v>
      </c>
      <c r="D279" s="4">
        <f t="shared" si="23"/>
        <v>35081566.28</v>
      </c>
      <c r="E279" s="4">
        <f t="shared" si="23"/>
        <v>0</v>
      </c>
      <c r="F279" s="4">
        <f t="shared" si="23"/>
        <v>0</v>
      </c>
      <c r="G279" s="4">
        <f t="shared" si="23"/>
        <v>0</v>
      </c>
      <c r="H279" s="4">
        <f t="shared" si="23"/>
        <v>0</v>
      </c>
      <c r="I279" s="4">
        <f t="shared" si="23"/>
        <v>0</v>
      </c>
      <c r="J279" s="4">
        <f t="shared" si="23"/>
        <v>35081566.28</v>
      </c>
    </row>
    <row r="280" spans="11:12" ht="13.5" customHeight="1">
      <c r="K280" s="16"/>
      <c r="L280" s="16"/>
    </row>
    <row r="281" spans="1:11" ht="12.75">
      <c r="A281" s="433" t="s">
        <v>636</v>
      </c>
      <c r="B281" s="433"/>
      <c r="C281" s="433"/>
      <c r="D281" s="433"/>
      <c r="E281" s="433"/>
      <c r="F281" s="433"/>
      <c r="G281" s="433"/>
      <c r="H281" s="433"/>
      <c r="I281" s="433"/>
      <c r="J281" s="433"/>
      <c r="K281" s="433"/>
    </row>
    <row r="282" spans="1:12" ht="12.75">
      <c r="A282" s="430" t="s">
        <v>9</v>
      </c>
      <c r="B282" s="430"/>
      <c r="C282" s="430"/>
      <c r="D282" s="430"/>
      <c r="E282" s="430"/>
      <c r="F282" s="430"/>
      <c r="G282" s="430"/>
      <c r="H282" s="430"/>
      <c r="I282" s="430"/>
      <c r="J282" s="430"/>
      <c r="K282" s="430"/>
      <c r="L282" s="430"/>
    </row>
    <row r="283" spans="1:12" ht="13.5" customHeight="1">
      <c r="A283" s="431" t="s">
        <v>59</v>
      </c>
      <c r="B283" s="431" t="s">
        <v>11</v>
      </c>
      <c r="C283" s="431" t="s">
        <v>132</v>
      </c>
      <c r="D283" s="431"/>
      <c r="E283" s="431"/>
      <c r="F283" s="431"/>
      <c r="G283" s="431"/>
      <c r="H283" s="31" t="s">
        <v>133</v>
      </c>
      <c r="I283" s="32"/>
      <c r="J283" s="32"/>
      <c r="K283" s="32"/>
      <c r="L283" s="33"/>
    </row>
    <row r="284" spans="1:12" ht="68.25" customHeight="1">
      <c r="A284" s="431"/>
      <c r="B284" s="431"/>
      <c r="C284" s="431" t="s">
        <v>69</v>
      </c>
      <c r="D284" s="431" t="s">
        <v>70</v>
      </c>
      <c r="E284" s="431" t="s">
        <v>71</v>
      </c>
      <c r="F284" s="431"/>
      <c r="G284" s="431" t="s">
        <v>72</v>
      </c>
      <c r="H284" s="431" t="s">
        <v>73</v>
      </c>
      <c r="I284" s="431" t="s">
        <v>74</v>
      </c>
      <c r="J284" s="31" t="s">
        <v>71</v>
      </c>
      <c r="K284" s="33"/>
      <c r="L284" s="4" t="s">
        <v>75</v>
      </c>
    </row>
    <row r="285" spans="1:12" ht="42" customHeight="1">
      <c r="A285" s="431"/>
      <c r="B285" s="431"/>
      <c r="C285" s="431"/>
      <c r="D285" s="431"/>
      <c r="E285" s="4" t="s">
        <v>67</v>
      </c>
      <c r="F285" s="4" t="s">
        <v>68</v>
      </c>
      <c r="G285" s="431"/>
      <c r="H285" s="431"/>
      <c r="I285" s="431"/>
      <c r="J285" s="4" t="s">
        <v>67</v>
      </c>
      <c r="K285" s="4" t="s">
        <v>68</v>
      </c>
      <c r="L285" s="4"/>
    </row>
    <row r="286" spans="1:12" ht="12.75">
      <c r="A286" s="4">
        <v>1</v>
      </c>
      <c r="B286" s="4">
        <v>2</v>
      </c>
      <c r="C286" s="4">
        <v>3</v>
      </c>
      <c r="D286" s="4">
        <v>4</v>
      </c>
      <c r="E286" s="4">
        <v>5</v>
      </c>
      <c r="F286" s="4">
        <v>6</v>
      </c>
      <c r="G286" s="4">
        <v>7</v>
      </c>
      <c r="H286" s="4">
        <v>8</v>
      </c>
      <c r="I286" s="4">
        <v>9</v>
      </c>
      <c r="J286" s="4">
        <v>10</v>
      </c>
      <c r="K286" s="4">
        <v>11</v>
      </c>
      <c r="L286" s="4">
        <v>12</v>
      </c>
    </row>
    <row r="287" spans="1:12" ht="12.75">
      <c r="A287" s="8" t="s">
        <v>87</v>
      </c>
      <c r="B287" s="10" t="s">
        <v>88</v>
      </c>
      <c r="C287" s="203">
        <v>37500800</v>
      </c>
      <c r="D287" s="4">
        <v>0</v>
      </c>
      <c r="E287" s="4">
        <v>0</v>
      </c>
      <c r="F287" s="4">
        <v>0</v>
      </c>
      <c r="G287" s="4">
        <f>C287-E287</f>
        <v>37500800</v>
      </c>
      <c r="H287" s="203">
        <f aca="true" t="shared" si="24" ref="H287:H298">K62</f>
        <v>44870400</v>
      </c>
      <c r="I287" s="4">
        <v>0</v>
      </c>
      <c r="J287" s="4">
        <v>0</v>
      </c>
      <c r="K287" s="4">
        <v>0</v>
      </c>
      <c r="L287" s="4">
        <f aca="true" t="shared" si="25" ref="L287:L300">H287-J287</f>
        <v>44870400</v>
      </c>
    </row>
    <row r="288" spans="1:12" ht="26.25">
      <c r="A288" s="8" t="s">
        <v>89</v>
      </c>
      <c r="B288" s="10" t="s">
        <v>90</v>
      </c>
      <c r="C288" s="203">
        <v>8257202</v>
      </c>
      <c r="D288" s="4">
        <v>0</v>
      </c>
      <c r="E288" s="4">
        <v>0</v>
      </c>
      <c r="F288" s="4">
        <v>0</v>
      </c>
      <c r="G288" s="4">
        <f aca="true" t="shared" si="26" ref="G288:G300">C288-E288</f>
        <v>8257202</v>
      </c>
      <c r="H288" s="203">
        <f t="shared" si="24"/>
        <v>9856002</v>
      </c>
      <c r="I288" s="4">
        <v>0</v>
      </c>
      <c r="J288" s="4">
        <v>0</v>
      </c>
      <c r="K288" s="4">
        <v>0</v>
      </c>
      <c r="L288" s="4">
        <f t="shared" si="25"/>
        <v>9856002</v>
      </c>
    </row>
    <row r="289" spans="1:12" ht="26.25">
      <c r="A289" s="8" t="s">
        <v>91</v>
      </c>
      <c r="B289" s="10" t="s">
        <v>92</v>
      </c>
      <c r="C289" s="203">
        <v>763715</v>
      </c>
      <c r="D289" s="4">
        <v>0</v>
      </c>
      <c r="E289" s="4">
        <v>0</v>
      </c>
      <c r="F289" s="4">
        <v>0</v>
      </c>
      <c r="G289" s="4">
        <f t="shared" si="26"/>
        <v>763715</v>
      </c>
      <c r="H289" s="204">
        <f t="shared" si="24"/>
        <v>757406</v>
      </c>
      <c r="I289" s="4">
        <v>0</v>
      </c>
      <c r="J289" s="4">
        <v>0</v>
      </c>
      <c r="K289" s="4">
        <v>0</v>
      </c>
      <c r="L289" s="4">
        <f t="shared" si="25"/>
        <v>757406</v>
      </c>
    </row>
    <row r="290" spans="1:12" ht="26.25">
      <c r="A290" s="8" t="s">
        <v>93</v>
      </c>
      <c r="B290" s="10" t="s">
        <v>94</v>
      </c>
      <c r="C290" s="203">
        <v>1030111</v>
      </c>
      <c r="D290" s="4">
        <v>0</v>
      </c>
      <c r="E290" s="4">
        <v>0</v>
      </c>
      <c r="F290" s="4">
        <v>0</v>
      </c>
      <c r="G290" s="4">
        <f t="shared" si="26"/>
        <v>1030111</v>
      </c>
      <c r="H290" s="204">
        <f t="shared" si="24"/>
        <v>767928</v>
      </c>
      <c r="I290" s="4">
        <v>0</v>
      </c>
      <c r="J290" s="4">
        <v>0</v>
      </c>
      <c r="K290" s="4">
        <v>0</v>
      </c>
      <c r="L290" s="4">
        <f t="shared" si="25"/>
        <v>767928</v>
      </c>
    </row>
    <row r="291" spans="1:12" ht="12.75">
      <c r="A291" s="8" t="s">
        <v>95</v>
      </c>
      <c r="B291" s="15" t="s">
        <v>96</v>
      </c>
      <c r="C291" s="203">
        <v>11000</v>
      </c>
      <c r="D291" s="4">
        <v>0</v>
      </c>
      <c r="E291" s="4">
        <v>0</v>
      </c>
      <c r="F291" s="4">
        <v>0</v>
      </c>
      <c r="G291" s="4">
        <f t="shared" si="26"/>
        <v>11000</v>
      </c>
      <c r="H291" s="203">
        <f t="shared" si="24"/>
        <v>11332</v>
      </c>
      <c r="I291" s="4">
        <v>0</v>
      </c>
      <c r="J291" s="4">
        <v>0</v>
      </c>
      <c r="K291" s="4">
        <v>0</v>
      </c>
      <c r="L291" s="4">
        <f t="shared" si="25"/>
        <v>11332</v>
      </c>
    </row>
    <row r="292" spans="1:12" ht="12.75">
      <c r="A292" s="8" t="s">
        <v>97</v>
      </c>
      <c r="B292" s="10" t="s">
        <v>98</v>
      </c>
      <c r="C292" s="203">
        <v>328931</v>
      </c>
      <c r="D292" s="4">
        <v>0</v>
      </c>
      <c r="E292" s="4">
        <v>0</v>
      </c>
      <c r="F292" s="4">
        <v>0</v>
      </c>
      <c r="G292" s="4">
        <f t="shared" si="26"/>
        <v>328931</v>
      </c>
      <c r="H292" s="204">
        <f t="shared" si="24"/>
        <v>338356</v>
      </c>
      <c r="I292" s="4">
        <v>0</v>
      </c>
      <c r="J292" s="4">
        <v>0</v>
      </c>
      <c r="K292" s="4">
        <v>0</v>
      </c>
      <c r="L292" s="4">
        <f t="shared" si="25"/>
        <v>338356</v>
      </c>
    </row>
    <row r="293" spans="1:12" ht="26.25">
      <c r="A293" s="8" t="s">
        <v>99</v>
      </c>
      <c r="B293" s="10" t="s">
        <v>100</v>
      </c>
      <c r="C293" s="203">
        <v>28587</v>
      </c>
      <c r="D293" s="4">
        <v>0</v>
      </c>
      <c r="E293" s="4">
        <v>0</v>
      </c>
      <c r="F293" s="4">
        <v>0</v>
      </c>
      <c r="G293" s="4">
        <f t="shared" si="26"/>
        <v>28587</v>
      </c>
      <c r="H293" s="203">
        <f t="shared" si="24"/>
        <v>31906</v>
      </c>
      <c r="I293" s="4">
        <v>0</v>
      </c>
      <c r="J293" s="4">
        <v>0</v>
      </c>
      <c r="K293" s="4">
        <v>0</v>
      </c>
      <c r="L293" s="4">
        <f t="shared" si="25"/>
        <v>31906</v>
      </c>
    </row>
    <row r="294" spans="1:12" ht="12.75">
      <c r="A294" s="8" t="s">
        <v>101</v>
      </c>
      <c r="B294" s="10" t="s">
        <v>102</v>
      </c>
      <c r="C294" s="203">
        <v>362172</v>
      </c>
      <c r="D294" s="4">
        <v>0</v>
      </c>
      <c r="E294" s="4">
        <v>0</v>
      </c>
      <c r="F294" s="4">
        <v>0</v>
      </c>
      <c r="G294" s="4">
        <f t="shared" si="26"/>
        <v>362172</v>
      </c>
      <c r="H294" s="203">
        <f t="shared" si="24"/>
        <v>435600</v>
      </c>
      <c r="I294" s="4">
        <v>0</v>
      </c>
      <c r="J294" s="4">
        <v>0</v>
      </c>
      <c r="K294" s="4">
        <v>0</v>
      </c>
      <c r="L294" s="4">
        <f t="shared" si="25"/>
        <v>435600</v>
      </c>
    </row>
    <row r="295" spans="1:12" ht="12.75">
      <c r="A295" s="8" t="s">
        <v>103</v>
      </c>
      <c r="B295" s="10" t="s">
        <v>104</v>
      </c>
      <c r="C295" s="203">
        <v>64706</v>
      </c>
      <c r="D295" s="4">
        <v>0</v>
      </c>
      <c r="E295" s="4">
        <v>0</v>
      </c>
      <c r="F295" s="4">
        <v>0</v>
      </c>
      <c r="G295" s="4">
        <f>C295-E295</f>
        <v>64706</v>
      </c>
      <c r="H295" s="204">
        <f t="shared" si="24"/>
        <v>25059</v>
      </c>
      <c r="I295" s="4">
        <v>0</v>
      </c>
      <c r="J295" s="4">
        <v>0</v>
      </c>
      <c r="K295" s="4">
        <v>0</v>
      </c>
      <c r="L295" s="4">
        <f>H295-J295</f>
        <v>25059</v>
      </c>
    </row>
    <row r="296" spans="1:12" ht="12.75">
      <c r="A296" s="8" t="s">
        <v>505</v>
      </c>
      <c r="B296" s="10" t="s">
        <v>506</v>
      </c>
      <c r="C296" s="203"/>
      <c r="D296" s="4">
        <v>0</v>
      </c>
      <c r="E296" s="4">
        <v>0</v>
      </c>
      <c r="F296" s="4">
        <v>0</v>
      </c>
      <c r="G296" s="4">
        <f t="shared" si="26"/>
        <v>0</v>
      </c>
      <c r="H296" s="204">
        <f t="shared" si="24"/>
        <v>5234</v>
      </c>
      <c r="I296" s="4">
        <v>0</v>
      </c>
      <c r="J296" s="4">
        <v>0</v>
      </c>
      <c r="K296" s="4">
        <v>0</v>
      </c>
      <c r="L296" s="4">
        <f t="shared" si="25"/>
        <v>5234</v>
      </c>
    </row>
    <row r="297" spans="1:12" ht="52.5">
      <c r="A297" s="8" t="s">
        <v>105</v>
      </c>
      <c r="B297" s="10" t="s">
        <v>106</v>
      </c>
      <c r="C297" s="203">
        <v>12800</v>
      </c>
      <c r="D297" s="4">
        <v>0</v>
      </c>
      <c r="E297" s="4">
        <v>0</v>
      </c>
      <c r="F297" s="4">
        <v>0</v>
      </c>
      <c r="G297" s="4">
        <f t="shared" si="26"/>
        <v>12800</v>
      </c>
      <c r="H297" s="203">
        <f t="shared" si="24"/>
        <v>37696</v>
      </c>
      <c r="I297" s="4">
        <v>0</v>
      </c>
      <c r="J297" s="4">
        <v>0</v>
      </c>
      <c r="K297" s="4">
        <v>0</v>
      </c>
      <c r="L297" s="4">
        <f t="shared" si="25"/>
        <v>37696</v>
      </c>
    </row>
    <row r="298" spans="1:12" ht="12.75">
      <c r="A298" s="8" t="s">
        <v>107</v>
      </c>
      <c r="B298" s="10" t="s">
        <v>108</v>
      </c>
      <c r="C298" s="203">
        <v>198232</v>
      </c>
      <c r="D298" s="4">
        <v>0</v>
      </c>
      <c r="E298" s="4">
        <v>0</v>
      </c>
      <c r="F298" s="4">
        <v>0</v>
      </c>
      <c r="G298" s="4">
        <f t="shared" si="26"/>
        <v>198232</v>
      </c>
      <c r="H298" s="204">
        <f t="shared" si="24"/>
        <v>194681</v>
      </c>
      <c r="I298" s="4">
        <v>0</v>
      </c>
      <c r="J298" s="4">
        <v>0</v>
      </c>
      <c r="K298" s="4">
        <v>0</v>
      </c>
      <c r="L298" s="4">
        <f t="shared" si="25"/>
        <v>194681</v>
      </c>
    </row>
    <row r="299" spans="1:12" ht="39">
      <c r="A299" s="8" t="s">
        <v>109</v>
      </c>
      <c r="B299" s="10" t="s">
        <v>84</v>
      </c>
      <c r="C299" s="203">
        <v>401200</v>
      </c>
      <c r="D299" s="4">
        <v>0</v>
      </c>
      <c r="E299" s="4">
        <v>0</v>
      </c>
      <c r="F299" s="4">
        <v>0</v>
      </c>
      <c r="G299" s="4">
        <f t="shared" si="26"/>
        <v>401200</v>
      </c>
      <c r="H299" s="204">
        <f>M75</f>
        <v>397200</v>
      </c>
      <c r="I299" s="4">
        <v>0</v>
      </c>
      <c r="J299" s="4">
        <v>0</v>
      </c>
      <c r="K299" s="4">
        <v>0</v>
      </c>
      <c r="L299" s="4">
        <f t="shared" si="25"/>
        <v>397200</v>
      </c>
    </row>
    <row r="300" spans="1:12" ht="26.25">
      <c r="A300" s="8" t="s">
        <v>639</v>
      </c>
      <c r="B300" s="10" t="str">
        <f>B109</f>
        <v>Придбання землі та нематеріальних активів</v>
      </c>
      <c r="C300" s="203">
        <v>100000</v>
      </c>
      <c r="D300" s="4">
        <v>0</v>
      </c>
      <c r="E300" s="4">
        <v>0</v>
      </c>
      <c r="F300" s="4">
        <v>0</v>
      </c>
      <c r="G300" s="4">
        <f t="shared" si="26"/>
        <v>100000</v>
      </c>
      <c r="H300" s="4">
        <f>L77</f>
        <v>120000</v>
      </c>
      <c r="I300" s="4">
        <v>0</v>
      </c>
      <c r="J300" s="4">
        <v>0</v>
      </c>
      <c r="K300" s="4">
        <v>0</v>
      </c>
      <c r="L300" s="4">
        <f t="shared" si="25"/>
        <v>120000</v>
      </c>
    </row>
    <row r="301" spans="1:12" ht="12.75">
      <c r="A301" s="4" t="s">
        <v>18</v>
      </c>
      <c r="B301" s="4" t="s">
        <v>23</v>
      </c>
      <c r="C301" s="4">
        <f aca="true" t="shared" si="27" ref="C301:L301">SUM(C287:C300)</f>
        <v>49059456</v>
      </c>
      <c r="D301" s="4">
        <f t="shared" si="27"/>
        <v>0</v>
      </c>
      <c r="E301" s="4">
        <f t="shared" si="27"/>
        <v>0</v>
      </c>
      <c r="F301" s="4">
        <f t="shared" si="27"/>
        <v>0</v>
      </c>
      <c r="G301" s="4">
        <f t="shared" si="27"/>
        <v>49059456</v>
      </c>
      <c r="H301" s="4">
        <f t="shared" si="27"/>
        <v>57848800</v>
      </c>
      <c r="I301" s="4">
        <f t="shared" si="27"/>
        <v>0</v>
      </c>
      <c r="J301" s="4">
        <f t="shared" si="27"/>
        <v>0</v>
      </c>
      <c r="K301" s="4">
        <f t="shared" si="27"/>
        <v>0</v>
      </c>
      <c r="L301" s="4">
        <f t="shared" si="27"/>
        <v>57848800</v>
      </c>
    </row>
    <row r="303" spans="1:9" ht="12.75">
      <c r="A303" s="433" t="s">
        <v>646</v>
      </c>
      <c r="B303" s="433"/>
      <c r="C303" s="433"/>
      <c r="D303" s="433"/>
      <c r="E303" s="433"/>
      <c r="F303" s="433"/>
      <c r="G303" s="433"/>
      <c r="H303" s="433"/>
      <c r="I303" s="433"/>
    </row>
    <row r="304" ht="12.75">
      <c r="A304" s="3" t="s">
        <v>9</v>
      </c>
    </row>
    <row r="305" spans="1:9" ht="78.75">
      <c r="A305" s="4" t="s">
        <v>59</v>
      </c>
      <c r="B305" s="4" t="s">
        <v>11</v>
      </c>
      <c r="C305" s="4" t="s">
        <v>60</v>
      </c>
      <c r="D305" s="4" t="s">
        <v>76</v>
      </c>
      <c r="E305" s="4" t="s">
        <v>136</v>
      </c>
      <c r="F305" s="4" t="s">
        <v>647</v>
      </c>
      <c r="G305" s="4" t="s">
        <v>648</v>
      </c>
      <c r="H305" s="4" t="s">
        <v>77</v>
      </c>
      <c r="I305" s="4" t="s">
        <v>78</v>
      </c>
    </row>
    <row r="306" spans="1:9" ht="12.75">
      <c r="A306" s="4">
        <v>1</v>
      </c>
      <c r="B306" s="4">
        <v>2</v>
      </c>
      <c r="C306" s="4">
        <v>3</v>
      </c>
      <c r="D306" s="4">
        <v>4</v>
      </c>
      <c r="E306" s="4">
        <v>5</v>
      </c>
      <c r="F306" s="4">
        <v>6</v>
      </c>
      <c r="G306" s="4">
        <v>7</v>
      </c>
      <c r="H306" s="4">
        <v>8</v>
      </c>
      <c r="I306" s="4">
        <v>9</v>
      </c>
    </row>
    <row r="307" spans="1:9" ht="92.25">
      <c r="A307" s="4">
        <v>2210</v>
      </c>
      <c r="B307" s="4" t="s">
        <v>137</v>
      </c>
      <c r="C307" s="4">
        <f>C269</f>
        <v>992072</v>
      </c>
      <c r="D307" s="4">
        <f>D269</f>
        <v>992071.64</v>
      </c>
      <c r="E307" s="4">
        <v>7902.12</v>
      </c>
      <c r="F307" s="4">
        <v>7083.82</v>
      </c>
      <c r="G307" s="4">
        <v>11432.35</v>
      </c>
      <c r="H307" s="4" t="s">
        <v>138</v>
      </c>
      <c r="I307" s="4" t="s">
        <v>151</v>
      </c>
    </row>
    <row r="308" spans="1:9" ht="12.75">
      <c r="A308" s="4" t="s">
        <v>18</v>
      </c>
      <c r="B308" s="4" t="s">
        <v>18</v>
      </c>
      <c r="C308" s="4" t="s">
        <v>18</v>
      </c>
      <c r="D308" s="4"/>
      <c r="E308" s="4" t="s">
        <v>18</v>
      </c>
      <c r="F308" s="4" t="s">
        <v>18</v>
      </c>
      <c r="G308" s="4" t="s">
        <v>18</v>
      </c>
      <c r="H308" s="4" t="s">
        <v>18</v>
      </c>
      <c r="I308" s="4" t="s">
        <v>18</v>
      </c>
    </row>
    <row r="309" spans="1:9" ht="12.75">
      <c r="A309" s="4" t="s">
        <v>18</v>
      </c>
      <c r="B309" s="4" t="s">
        <v>23</v>
      </c>
      <c r="C309" s="4">
        <f>C307</f>
        <v>992072</v>
      </c>
      <c r="D309" s="4">
        <f>D307</f>
        <v>992071.64</v>
      </c>
      <c r="E309" s="4">
        <f>E307</f>
        <v>7902.12</v>
      </c>
      <c r="F309" s="4">
        <f>F307</f>
        <v>7083.82</v>
      </c>
      <c r="G309" s="4">
        <f>G307</f>
        <v>11432.35</v>
      </c>
      <c r="H309" s="4" t="s">
        <v>18</v>
      </c>
      <c r="I309" s="4" t="s">
        <v>18</v>
      </c>
    </row>
    <row r="310" spans="1:12" ht="12.75">
      <c r="A310" s="447" t="s">
        <v>644</v>
      </c>
      <c r="B310" s="447"/>
      <c r="C310" s="447"/>
      <c r="D310" s="447"/>
      <c r="E310" s="447"/>
      <c r="F310" s="447"/>
      <c r="G310" s="447"/>
      <c r="H310" s="447"/>
      <c r="I310" s="447"/>
      <c r="K310" s="30"/>
      <c r="L310" s="30"/>
    </row>
    <row r="311" spans="1:16" ht="32.25" customHeight="1">
      <c r="A311" s="446" t="s">
        <v>645</v>
      </c>
      <c r="B311" s="446"/>
      <c r="C311" s="446"/>
      <c r="D311" s="446"/>
      <c r="E311" s="446"/>
      <c r="F311" s="446"/>
      <c r="G311" s="446"/>
      <c r="H311" s="446"/>
      <c r="I311" s="446"/>
      <c r="J311" s="446"/>
      <c r="K311" s="446"/>
      <c r="L311" s="446"/>
      <c r="M311" s="446"/>
      <c r="N311" s="446"/>
      <c r="O311" s="446"/>
      <c r="P311" s="446"/>
    </row>
    <row r="312" spans="1:12" ht="12.75" customHeight="1">
      <c r="A312" s="429" t="s">
        <v>143</v>
      </c>
      <c r="B312" s="429"/>
      <c r="C312" s="429"/>
      <c r="D312" s="429"/>
      <c r="E312" s="429"/>
      <c r="F312" s="429"/>
      <c r="G312" s="429"/>
      <c r="H312" s="429"/>
      <c r="I312" s="429"/>
      <c r="K312" s="29"/>
      <c r="L312" s="29"/>
    </row>
    <row r="313" spans="1:16" ht="30.75" customHeight="1">
      <c r="A313" s="445" t="s">
        <v>713</v>
      </c>
      <c r="B313" s="445"/>
      <c r="C313" s="445"/>
      <c r="D313" s="445"/>
      <c r="E313" s="445"/>
      <c r="F313" s="445"/>
      <c r="G313" s="445"/>
      <c r="H313" s="445"/>
      <c r="I313" s="445"/>
      <c r="J313" s="445"/>
      <c r="K313" s="445"/>
      <c r="L313" s="445"/>
      <c r="M313" s="445"/>
      <c r="N313" s="445"/>
      <c r="O313" s="445"/>
      <c r="P313" s="445"/>
    </row>
    <row r="315" spans="1:9" ht="15" customHeight="1">
      <c r="A315" s="433" t="s">
        <v>139</v>
      </c>
      <c r="B315" s="433"/>
      <c r="C315" s="17"/>
      <c r="D315" s="18"/>
      <c r="G315" s="18" t="s">
        <v>141</v>
      </c>
      <c r="H315" s="18"/>
      <c r="I315" s="18"/>
    </row>
    <row r="316" spans="1:9" ht="12.75">
      <c r="A316" s="16"/>
      <c r="B316" s="19"/>
      <c r="D316" s="17" t="s">
        <v>79</v>
      </c>
      <c r="G316" s="422" t="s">
        <v>80</v>
      </c>
      <c r="H316" s="422"/>
      <c r="I316" s="422"/>
    </row>
    <row r="317" spans="1:9" ht="12.75">
      <c r="A317" s="433" t="s">
        <v>140</v>
      </c>
      <c r="B317" s="433"/>
      <c r="C317" s="17"/>
      <c r="D317" s="18"/>
      <c r="G317" s="18" t="s">
        <v>142</v>
      </c>
      <c r="H317" s="18"/>
      <c r="I317" s="18"/>
    </row>
    <row r="318" spans="1:9" ht="12.75">
      <c r="A318" s="20"/>
      <c r="B318" s="17"/>
      <c r="C318" s="17"/>
      <c r="D318" s="17" t="s">
        <v>79</v>
      </c>
      <c r="G318" s="422" t="s">
        <v>80</v>
      </c>
      <c r="H318" s="422"/>
      <c r="I318" s="422"/>
    </row>
  </sheetData>
  <sheetProtection/>
  <mergeCells count="170">
    <mergeCell ref="N11:O11"/>
    <mergeCell ref="N10:O10"/>
    <mergeCell ref="C11:E11"/>
    <mergeCell ref="F11:G11"/>
    <mergeCell ref="A122:N122"/>
    <mergeCell ref="A123:N123"/>
    <mergeCell ref="F12:G12"/>
    <mergeCell ref="H12:M12"/>
    <mergeCell ref="N12:O12"/>
    <mergeCell ref="A10:J10"/>
    <mergeCell ref="A150:M150"/>
    <mergeCell ref="G125:J125"/>
    <mergeCell ref="A149:M149"/>
    <mergeCell ref="K125:N125"/>
    <mergeCell ref="A137:J137"/>
    <mergeCell ref="N8:O8"/>
    <mergeCell ref="A9:J9"/>
    <mergeCell ref="L9:M9"/>
    <mergeCell ref="N9:O9"/>
    <mergeCell ref="C12:E12"/>
    <mergeCell ref="A250:L250"/>
    <mergeCell ref="A251:M251"/>
    <mergeCell ref="J264:J265"/>
    <mergeCell ref="D264:D265"/>
    <mergeCell ref="H11:M11"/>
    <mergeCell ref="A8:J8"/>
    <mergeCell ref="L8:M8"/>
    <mergeCell ref="L10:M10"/>
    <mergeCell ref="A151:M151"/>
    <mergeCell ref="A203:K204"/>
    <mergeCell ref="E284:F284"/>
    <mergeCell ref="G284:G285"/>
    <mergeCell ref="H284:H285"/>
    <mergeCell ref="I284:I285"/>
    <mergeCell ref="A311:P311"/>
    <mergeCell ref="A313:P313"/>
    <mergeCell ref="A303:I303"/>
    <mergeCell ref="A310:I310"/>
    <mergeCell ref="G316:I316"/>
    <mergeCell ref="A317:B317"/>
    <mergeCell ref="G318:I318"/>
    <mergeCell ref="A283:A285"/>
    <mergeCell ref="B283:B285"/>
    <mergeCell ref="C283:G283"/>
    <mergeCell ref="C284:C285"/>
    <mergeCell ref="A312:I312"/>
    <mergeCell ref="A315:B315"/>
    <mergeCell ref="D284:D285"/>
    <mergeCell ref="A281:K281"/>
    <mergeCell ref="A282:L282"/>
    <mergeCell ref="L252:M252"/>
    <mergeCell ref="A259:J259"/>
    <mergeCell ref="A261:J261"/>
    <mergeCell ref="A262:J262"/>
    <mergeCell ref="A264:A265"/>
    <mergeCell ref="B264:B265"/>
    <mergeCell ref="F264:F265"/>
    <mergeCell ref="G264:G265"/>
    <mergeCell ref="C264:C265"/>
    <mergeCell ref="A252:A253"/>
    <mergeCell ref="B252:B253"/>
    <mergeCell ref="C252:C253"/>
    <mergeCell ref="D252:E252"/>
    <mergeCell ref="F252:G252"/>
    <mergeCell ref="E264:E265"/>
    <mergeCell ref="A260:P260"/>
    <mergeCell ref="H264:I264"/>
    <mergeCell ref="H252:I252"/>
    <mergeCell ref="A233:A234"/>
    <mergeCell ref="B233:B234"/>
    <mergeCell ref="C233:C234"/>
    <mergeCell ref="D233:F233"/>
    <mergeCell ref="G233:I233"/>
    <mergeCell ref="A240:I240"/>
    <mergeCell ref="A243:A244"/>
    <mergeCell ref="B243:B244"/>
    <mergeCell ref="C243:C244"/>
    <mergeCell ref="D243:F243"/>
    <mergeCell ref="G243:I243"/>
    <mergeCell ref="I221:J221"/>
    <mergeCell ref="A220:A222"/>
    <mergeCell ref="B220:B222"/>
    <mergeCell ref="C220:F220"/>
    <mergeCell ref="G220:J220"/>
    <mergeCell ref="A231:P231"/>
    <mergeCell ref="K220:L220"/>
    <mergeCell ref="A218:J218"/>
    <mergeCell ref="M220:N220"/>
    <mergeCell ref="G221:H221"/>
    <mergeCell ref="A114:J114"/>
    <mergeCell ref="O220:P220"/>
    <mergeCell ref="C221:D221"/>
    <mergeCell ref="E221:F221"/>
    <mergeCell ref="A206:A207"/>
    <mergeCell ref="B206:C206"/>
    <mergeCell ref="D206:E206"/>
    <mergeCell ref="F206:G206"/>
    <mergeCell ref="H206:I206"/>
    <mergeCell ref="A153:A154"/>
    <mergeCell ref="B153:B154"/>
    <mergeCell ref="C153:C154"/>
    <mergeCell ref="D153:D154"/>
    <mergeCell ref="E153:G153"/>
    <mergeCell ref="H153:J153"/>
    <mergeCell ref="K153:M153"/>
    <mergeCell ref="A178:J178"/>
    <mergeCell ref="A182:A183"/>
    <mergeCell ref="B182:B183"/>
    <mergeCell ref="C182:C183"/>
    <mergeCell ref="D182:D183"/>
    <mergeCell ref="E182:G182"/>
    <mergeCell ref="H182:J182"/>
    <mergeCell ref="A140:A141"/>
    <mergeCell ref="B140:B141"/>
    <mergeCell ref="C140:F140"/>
    <mergeCell ref="G140:J140"/>
    <mergeCell ref="A125:A126"/>
    <mergeCell ref="B125:B126"/>
    <mergeCell ref="C125:F125"/>
    <mergeCell ref="A116:A117"/>
    <mergeCell ref="B116:B117"/>
    <mergeCell ref="C116:F116"/>
    <mergeCell ref="G116:J116"/>
    <mergeCell ref="A88:J88"/>
    <mergeCell ref="A91:A92"/>
    <mergeCell ref="B91:B92"/>
    <mergeCell ref="C91:F91"/>
    <mergeCell ref="G91:J91"/>
    <mergeCell ref="A113:J113"/>
    <mergeCell ref="C83:F83"/>
    <mergeCell ref="G83:J83"/>
    <mergeCell ref="K83:N83"/>
    <mergeCell ref="A55:N55"/>
    <mergeCell ref="A57:A58"/>
    <mergeCell ref="B57:B58"/>
    <mergeCell ref="C57:F57"/>
    <mergeCell ref="G57:J57"/>
    <mergeCell ref="K57:N57"/>
    <mergeCell ref="A13:P13"/>
    <mergeCell ref="A14:P14"/>
    <mergeCell ref="A15:P15"/>
    <mergeCell ref="A16:P16"/>
    <mergeCell ref="A17:P17"/>
    <mergeCell ref="A18:P18"/>
    <mergeCell ref="A28:A29"/>
    <mergeCell ref="A19:P19"/>
    <mergeCell ref="A20:P20"/>
    <mergeCell ref="B28:B29"/>
    <mergeCell ref="C28:F28"/>
    <mergeCell ref="G28:J28"/>
    <mergeCell ref="C42:F42"/>
    <mergeCell ref="A6:P6"/>
    <mergeCell ref="A7:J7"/>
    <mergeCell ref="L7:M7"/>
    <mergeCell ref="N7:O7"/>
    <mergeCell ref="G42:J42"/>
    <mergeCell ref="A22:P22"/>
    <mergeCell ref="A23:P23"/>
    <mergeCell ref="A24:P24"/>
    <mergeCell ref="A25:B25"/>
    <mergeCell ref="A232:L232"/>
    <mergeCell ref="K28:N28"/>
    <mergeCell ref="A21:P21"/>
    <mergeCell ref="A54:N54"/>
    <mergeCell ref="A80:N80"/>
    <mergeCell ref="A83:A84"/>
    <mergeCell ref="B83:B84"/>
    <mergeCell ref="A39:J39"/>
    <mergeCell ref="A42:A43"/>
    <mergeCell ref="B42:B43"/>
  </mergeCells>
  <printOptions horizontalCentered="1"/>
  <pageMargins left="0.35433070866141736" right="0.35433070866141736" top="0.31496062992125984" bottom="0.2755905511811024" header="0.31496062992125984" footer="0.31496062992125984"/>
  <pageSetup horizontalDpi="600" verticalDpi="600" orientation="landscape" paperSize="9" scale="63" r:id="rId1"/>
  <rowBreaks count="1" manualBreakCount="1">
    <brk id="28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8"/>
  <sheetViews>
    <sheetView zoomScale="91" zoomScaleNormal="91" zoomScalePageLayoutView="0" workbookViewId="0" topLeftCell="A4">
      <pane ySplit="1020" topLeftCell="A299" activePane="bottomLeft" state="split"/>
      <selection pane="topLeft" activeCell="A4" sqref="A4"/>
      <selection pane="bottomLeft" activeCell="F319" sqref="F319"/>
    </sheetView>
  </sheetViews>
  <sheetFormatPr defaultColWidth="6.28125" defaultRowHeight="15"/>
  <cols>
    <col min="1" max="1" width="5.421875" style="35" customWidth="1"/>
    <col min="2" max="2" width="34.7109375" style="35" customWidth="1"/>
    <col min="3" max="3" width="6.28125" style="35" customWidth="1"/>
    <col min="4" max="4" width="11.57421875" style="186" customWidth="1"/>
    <col min="5" max="5" width="12.57421875" style="186" customWidth="1"/>
    <col min="6" max="6" width="10.140625" style="187" customWidth="1"/>
    <col min="7" max="7" width="14.8515625" style="41" customWidth="1"/>
    <col min="8" max="8" width="14.28125" style="188" customWidth="1"/>
    <col min="9" max="9" width="13.00390625" style="188" customWidth="1"/>
    <col min="10" max="10" width="12.7109375" style="41" customWidth="1"/>
    <col min="11" max="11" width="14.28125" style="35" customWidth="1"/>
    <col min="12" max="12" width="13.140625" style="42" customWidth="1"/>
    <col min="13" max="16384" width="6.28125" style="35" customWidth="1"/>
  </cols>
  <sheetData>
    <row r="1" spans="1:12" ht="12.75">
      <c r="A1" s="464" t="s">
        <v>172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</row>
    <row r="2" spans="1:12" ht="13.5" customHeight="1">
      <c r="A2" s="464" t="s">
        <v>507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1:12" ht="13.5" customHeight="1">
      <c r="A3" s="465" t="s">
        <v>173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</row>
    <row r="4" spans="1:9" ht="13.5" thickBot="1">
      <c r="A4" s="36"/>
      <c r="B4" s="36"/>
      <c r="C4" s="36"/>
      <c r="D4" s="37"/>
      <c r="E4" s="37"/>
      <c r="F4" s="38"/>
      <c r="G4" s="39"/>
      <c r="H4" s="40" t="s">
        <v>82</v>
      </c>
      <c r="I4" s="40"/>
    </row>
    <row r="5" spans="1:12" ht="27" thickBot="1">
      <c r="A5" s="43" t="s">
        <v>174</v>
      </c>
      <c r="B5" s="44" t="s">
        <v>34</v>
      </c>
      <c r="C5" s="45"/>
      <c r="D5" s="46" t="s">
        <v>175</v>
      </c>
      <c r="E5" s="46" t="s">
        <v>176</v>
      </c>
      <c r="F5" s="47" t="s">
        <v>177</v>
      </c>
      <c r="G5" s="48" t="s">
        <v>178</v>
      </c>
      <c r="H5" s="49" t="s">
        <v>133</v>
      </c>
      <c r="I5" s="205" t="s">
        <v>134</v>
      </c>
      <c r="J5" s="206"/>
      <c r="K5" s="466" t="s">
        <v>179</v>
      </c>
      <c r="L5" s="467"/>
    </row>
    <row r="6" spans="1:12" ht="26.25">
      <c r="A6" s="50">
        <v>2100</v>
      </c>
      <c r="B6" s="51" t="s">
        <v>180</v>
      </c>
      <c r="C6" s="52"/>
      <c r="D6" s="53"/>
      <c r="E6" s="53"/>
      <c r="F6" s="54"/>
      <c r="G6" s="55">
        <f>G63+G62</f>
        <v>163990344</v>
      </c>
      <c r="H6" s="56">
        <f>H7+H63</f>
        <v>54726402</v>
      </c>
      <c r="I6" s="207">
        <f>I62+I63</f>
        <v>54553850</v>
      </c>
      <c r="J6" s="208"/>
      <c r="K6" s="207">
        <f>K62+K63</f>
        <v>54710092</v>
      </c>
      <c r="L6" s="208"/>
    </row>
    <row r="7" spans="1:12" ht="12.75">
      <c r="A7" s="57"/>
      <c r="B7" s="58" t="s">
        <v>181</v>
      </c>
      <c r="C7" s="58"/>
      <c r="D7" s="59"/>
      <c r="E7" s="59"/>
      <c r="F7" s="60"/>
      <c r="G7" s="61">
        <f>G62</f>
        <v>134204851</v>
      </c>
      <c r="H7" s="62">
        <f>H62</f>
        <v>44870400</v>
      </c>
      <c r="I7" s="209">
        <f>I62</f>
        <v>44603192</v>
      </c>
      <c r="J7" s="210"/>
      <c r="K7" s="209">
        <f>K62</f>
        <v>44731259</v>
      </c>
      <c r="L7" s="210"/>
    </row>
    <row r="8" spans="1:12" ht="26.25">
      <c r="A8" s="63"/>
      <c r="B8" s="64" t="s">
        <v>182</v>
      </c>
      <c r="C8" s="65"/>
      <c r="D8" s="66"/>
      <c r="E8" s="67"/>
      <c r="F8" s="68"/>
      <c r="G8" s="69"/>
      <c r="H8" s="70">
        <f>G8</f>
        <v>0</v>
      </c>
      <c r="I8" s="462"/>
      <c r="J8" s="463"/>
      <c r="K8" s="462"/>
      <c r="L8" s="463"/>
    </row>
    <row r="9" spans="1:12" ht="26.25">
      <c r="A9" s="63"/>
      <c r="B9" s="71" t="s">
        <v>183</v>
      </c>
      <c r="C9" s="72"/>
      <c r="D9" s="66"/>
      <c r="E9" s="259">
        <v>1043796</v>
      </c>
      <c r="F9" s="68">
        <v>12</v>
      </c>
      <c r="G9" s="73">
        <f>ROUND((E9*F9),)</f>
        <v>12525552</v>
      </c>
      <c r="H9" s="70">
        <f>G9</f>
        <v>12525552</v>
      </c>
      <c r="I9" s="458"/>
      <c r="J9" s="459"/>
      <c r="K9" s="458"/>
      <c r="L9" s="459"/>
    </row>
    <row r="10" spans="1:12" ht="26.25">
      <c r="A10" s="63"/>
      <c r="B10" s="64" t="s">
        <v>182</v>
      </c>
      <c r="C10" s="65"/>
      <c r="D10" s="66"/>
      <c r="E10" s="262"/>
      <c r="F10" s="68"/>
      <c r="G10" s="69"/>
      <c r="H10" s="70"/>
      <c r="I10" s="462"/>
      <c r="J10" s="463"/>
      <c r="K10" s="462"/>
      <c r="L10" s="463"/>
    </row>
    <row r="11" spans="1:12" ht="12.75">
      <c r="A11" s="63"/>
      <c r="B11" s="71" t="s">
        <v>184</v>
      </c>
      <c r="C11" s="72"/>
      <c r="D11" s="66"/>
      <c r="E11" s="262">
        <v>1043796</v>
      </c>
      <c r="F11" s="68">
        <v>12</v>
      </c>
      <c r="G11" s="73"/>
      <c r="H11" s="70"/>
      <c r="I11" s="458">
        <f>ROUND((E11*F11),)</f>
        <v>12525552</v>
      </c>
      <c r="J11" s="459"/>
      <c r="K11" s="458"/>
      <c r="L11" s="459"/>
    </row>
    <row r="12" spans="1:12" ht="26.25">
      <c r="A12" s="63"/>
      <c r="B12" s="64" t="s">
        <v>182</v>
      </c>
      <c r="C12" s="65"/>
      <c r="D12" s="66"/>
      <c r="E12" s="262"/>
      <c r="F12" s="68"/>
      <c r="G12" s="69"/>
      <c r="H12" s="70"/>
      <c r="I12" s="462"/>
      <c r="J12" s="463"/>
      <c r="K12" s="462"/>
      <c r="L12" s="463"/>
    </row>
    <row r="13" spans="1:12" ht="12.75">
      <c r="A13" s="63"/>
      <c r="B13" s="71" t="s">
        <v>185</v>
      </c>
      <c r="C13" s="72"/>
      <c r="D13" s="66"/>
      <c r="E13" s="262">
        <v>1043796</v>
      </c>
      <c r="F13" s="68">
        <v>12</v>
      </c>
      <c r="G13" s="73"/>
      <c r="H13" s="70"/>
      <c r="I13" s="458"/>
      <c r="J13" s="459"/>
      <c r="K13" s="458">
        <f>ROUND((E13*F13),)</f>
        <v>12525552</v>
      </c>
      <c r="L13" s="459"/>
    </row>
    <row r="14" spans="1:12" ht="16.5" customHeight="1">
      <c r="A14" s="63"/>
      <c r="B14" s="71" t="s">
        <v>186</v>
      </c>
      <c r="C14" s="72"/>
      <c r="D14" s="66"/>
      <c r="E14" s="259">
        <v>514633.4</v>
      </c>
      <c r="F14" s="68">
        <v>12</v>
      </c>
      <c r="G14" s="69">
        <f>ROUND((E14*F14),)</f>
        <v>6175601</v>
      </c>
      <c r="H14" s="70">
        <f>SUM(G14)</f>
        <v>6175601</v>
      </c>
      <c r="I14" s="458"/>
      <c r="J14" s="459"/>
      <c r="K14" s="458"/>
      <c r="L14" s="459"/>
    </row>
    <row r="15" spans="1:12" ht="17.25" customHeight="1">
      <c r="A15" s="63"/>
      <c r="B15" s="71" t="s">
        <v>187</v>
      </c>
      <c r="C15" s="72"/>
      <c r="D15" s="66"/>
      <c r="E15" s="262">
        <v>514633.4</v>
      </c>
      <c r="F15" s="68">
        <v>12</v>
      </c>
      <c r="G15" s="69"/>
      <c r="H15" s="70"/>
      <c r="I15" s="458">
        <f>ROUND((E15*F15),)</f>
        <v>6175601</v>
      </c>
      <c r="J15" s="459"/>
      <c r="K15" s="458"/>
      <c r="L15" s="459"/>
    </row>
    <row r="16" spans="1:12" ht="17.25" customHeight="1">
      <c r="A16" s="63"/>
      <c r="B16" s="71" t="s">
        <v>188</v>
      </c>
      <c r="C16" s="72"/>
      <c r="D16" s="66"/>
      <c r="E16" s="262">
        <v>514633.4</v>
      </c>
      <c r="F16" s="68">
        <v>12</v>
      </c>
      <c r="G16" s="69"/>
      <c r="H16" s="70"/>
      <c r="I16" s="458"/>
      <c r="J16" s="459"/>
      <c r="K16" s="458">
        <f>ROUND((E16*F16),)</f>
        <v>6175601</v>
      </c>
      <c r="L16" s="459"/>
    </row>
    <row r="17" spans="1:12" ht="17.25" customHeight="1">
      <c r="A17" s="63"/>
      <c r="B17" s="71" t="s">
        <v>189</v>
      </c>
      <c r="C17" s="72"/>
      <c r="D17" s="66"/>
      <c r="E17" s="259">
        <v>75350</v>
      </c>
      <c r="F17" s="68">
        <v>12</v>
      </c>
      <c r="G17" s="69">
        <f>ROUND((E17*F17),)</f>
        <v>904200</v>
      </c>
      <c r="H17" s="70">
        <f>SUM(G17)</f>
        <v>904200</v>
      </c>
      <c r="I17" s="458">
        <f>ROUND((E17*F17),)</f>
        <v>904200</v>
      </c>
      <c r="J17" s="459"/>
      <c r="K17" s="458">
        <f>ROUND((E17*F17),)</f>
        <v>904200</v>
      </c>
      <c r="L17" s="459"/>
    </row>
    <row r="18" spans="1:12" ht="15" customHeight="1">
      <c r="A18" s="63"/>
      <c r="B18" s="71" t="s">
        <v>190</v>
      </c>
      <c r="C18" s="72"/>
      <c r="D18" s="66"/>
      <c r="E18" s="262"/>
      <c r="F18" s="68"/>
      <c r="G18" s="69"/>
      <c r="H18" s="70"/>
      <c r="I18" s="458"/>
      <c r="J18" s="459"/>
      <c r="K18" s="458"/>
      <c r="L18" s="459"/>
    </row>
    <row r="19" spans="1:12" ht="15" customHeight="1">
      <c r="A19" s="63"/>
      <c r="B19" s="71" t="s">
        <v>535</v>
      </c>
      <c r="C19" s="72"/>
      <c r="D19" s="66"/>
      <c r="E19" s="259">
        <v>213323.5</v>
      </c>
      <c r="F19" s="68">
        <v>12</v>
      </c>
      <c r="G19" s="73">
        <f>ROUND((E19*F19),)</f>
        <v>2559882</v>
      </c>
      <c r="H19" s="70">
        <f>G19</f>
        <v>2559882</v>
      </c>
      <c r="I19" s="458"/>
      <c r="J19" s="459"/>
      <c r="K19" s="458"/>
      <c r="L19" s="459"/>
    </row>
    <row r="20" spans="1:12" ht="15" customHeight="1">
      <c r="A20" s="63"/>
      <c r="B20" s="71" t="s">
        <v>190</v>
      </c>
      <c r="C20" s="72"/>
      <c r="D20" s="66"/>
      <c r="E20" s="262"/>
      <c r="F20" s="68"/>
      <c r="G20" s="69"/>
      <c r="H20" s="70"/>
      <c r="I20" s="458"/>
      <c r="J20" s="459"/>
      <c r="K20" s="458"/>
      <c r="L20" s="459"/>
    </row>
    <row r="21" spans="1:12" ht="15" customHeight="1">
      <c r="A21" s="63"/>
      <c r="B21" s="71" t="s">
        <v>191</v>
      </c>
      <c r="C21" s="72"/>
      <c r="D21" s="66"/>
      <c r="E21" s="262">
        <v>213323.5</v>
      </c>
      <c r="F21" s="68">
        <v>12</v>
      </c>
      <c r="G21" s="73"/>
      <c r="H21" s="70"/>
      <c r="I21" s="458">
        <f>ROUND((E21*F21),)</f>
        <v>2559882</v>
      </c>
      <c r="J21" s="459"/>
      <c r="K21" s="458"/>
      <c r="L21" s="459"/>
    </row>
    <row r="22" spans="1:12" ht="15" customHeight="1">
      <c r="A22" s="63"/>
      <c r="B22" s="71" t="s">
        <v>190</v>
      </c>
      <c r="C22" s="72"/>
      <c r="D22" s="66"/>
      <c r="E22" s="262"/>
      <c r="F22" s="68"/>
      <c r="G22" s="69"/>
      <c r="H22" s="70"/>
      <c r="I22" s="458"/>
      <c r="J22" s="459"/>
      <c r="K22" s="458"/>
      <c r="L22" s="459"/>
    </row>
    <row r="23" spans="1:12" ht="15" customHeight="1">
      <c r="A23" s="63"/>
      <c r="B23" s="71" t="s">
        <v>192</v>
      </c>
      <c r="C23" s="72"/>
      <c r="D23" s="66"/>
      <c r="E23" s="262">
        <v>213323.5</v>
      </c>
      <c r="F23" s="68">
        <v>12</v>
      </c>
      <c r="G23" s="73"/>
      <c r="H23" s="70"/>
      <c r="I23" s="458"/>
      <c r="J23" s="459"/>
      <c r="K23" s="458">
        <f>ROUND((E23*F23),)</f>
        <v>2559882</v>
      </c>
      <c r="L23" s="459"/>
    </row>
    <row r="24" spans="1:12" ht="26.25">
      <c r="A24" s="63"/>
      <c r="B24" s="71" t="s">
        <v>193</v>
      </c>
      <c r="C24" s="72"/>
      <c r="D24" s="66"/>
      <c r="E24" s="262"/>
      <c r="F24" s="68"/>
      <c r="G24" s="69"/>
      <c r="H24" s="70"/>
      <c r="I24" s="458"/>
      <c r="J24" s="459"/>
      <c r="K24" s="458"/>
      <c r="L24" s="459"/>
    </row>
    <row r="25" spans="1:12" ht="15" customHeight="1">
      <c r="A25" s="63"/>
      <c r="B25" s="71" t="s">
        <v>194</v>
      </c>
      <c r="C25" s="72"/>
      <c r="D25" s="66"/>
      <c r="E25" s="259">
        <v>828.45</v>
      </c>
      <c r="F25" s="68">
        <v>12</v>
      </c>
      <c r="G25" s="73">
        <f>ROUND((E25*F25),)</f>
        <v>9941</v>
      </c>
      <c r="H25" s="70">
        <f>G25</f>
        <v>9941</v>
      </c>
      <c r="I25" s="458"/>
      <c r="J25" s="459"/>
      <c r="K25" s="458"/>
      <c r="L25" s="459"/>
    </row>
    <row r="26" spans="1:12" ht="26.25">
      <c r="A26" s="63"/>
      <c r="B26" s="71" t="s">
        <v>195</v>
      </c>
      <c r="C26" s="72"/>
      <c r="D26" s="66"/>
      <c r="E26" s="262"/>
      <c r="F26" s="68"/>
      <c r="G26" s="69"/>
      <c r="H26" s="70"/>
      <c r="I26" s="458"/>
      <c r="J26" s="459"/>
      <c r="K26" s="458"/>
      <c r="L26" s="459"/>
    </row>
    <row r="27" spans="1:12" ht="15" customHeight="1">
      <c r="A27" s="63"/>
      <c r="B27" s="71"/>
      <c r="C27" s="72"/>
      <c r="D27" s="66"/>
      <c r="E27" s="262">
        <v>828.45</v>
      </c>
      <c r="F27" s="68">
        <v>12</v>
      </c>
      <c r="G27" s="73"/>
      <c r="H27" s="70"/>
      <c r="I27" s="458">
        <f>ROUND((828.45*12),)</f>
        <v>9941</v>
      </c>
      <c r="J27" s="459"/>
      <c r="K27" s="458"/>
      <c r="L27" s="459"/>
    </row>
    <row r="28" spans="1:12" ht="26.25">
      <c r="A28" s="63"/>
      <c r="B28" s="71" t="s">
        <v>196</v>
      </c>
      <c r="C28" s="72"/>
      <c r="D28" s="66"/>
      <c r="E28" s="262"/>
      <c r="F28" s="68"/>
      <c r="G28" s="69"/>
      <c r="H28" s="70"/>
      <c r="I28" s="458"/>
      <c r="J28" s="459"/>
      <c r="K28" s="458"/>
      <c r="L28" s="459"/>
    </row>
    <row r="29" spans="1:12" ht="15" customHeight="1">
      <c r="A29" s="63"/>
      <c r="B29" s="71"/>
      <c r="C29" s="72"/>
      <c r="D29" s="66"/>
      <c r="E29" s="262">
        <v>828.45</v>
      </c>
      <c r="F29" s="68">
        <v>12</v>
      </c>
      <c r="G29" s="73"/>
      <c r="H29" s="70"/>
      <c r="I29" s="458"/>
      <c r="J29" s="459"/>
      <c r="K29" s="458">
        <f>ROUND((828.45*12),)</f>
        <v>9941</v>
      </c>
      <c r="L29" s="459"/>
    </row>
    <row r="30" spans="1:12" ht="15" customHeight="1">
      <c r="A30" s="63"/>
      <c r="B30" s="71" t="s">
        <v>197</v>
      </c>
      <c r="C30" s="72"/>
      <c r="D30" s="66"/>
      <c r="E30" s="262"/>
      <c r="F30" s="68"/>
      <c r="G30" s="69"/>
      <c r="H30" s="70"/>
      <c r="I30" s="458"/>
      <c r="J30" s="459"/>
      <c r="K30" s="458"/>
      <c r="L30" s="459"/>
    </row>
    <row r="31" spans="1:12" ht="15" customHeight="1">
      <c r="A31" s="63"/>
      <c r="B31" s="71" t="s">
        <v>198</v>
      </c>
      <c r="C31" s="72"/>
      <c r="D31" s="66"/>
      <c r="E31" s="259">
        <v>1775.25</v>
      </c>
      <c r="F31" s="68">
        <v>12</v>
      </c>
      <c r="G31" s="73">
        <f>ROUND((E31*F31),)</f>
        <v>21303</v>
      </c>
      <c r="H31" s="70">
        <f>G31</f>
        <v>21303</v>
      </c>
      <c r="I31" s="458"/>
      <c r="J31" s="459"/>
      <c r="K31" s="458"/>
      <c r="L31" s="459"/>
    </row>
    <row r="32" spans="1:12" ht="15" customHeight="1">
      <c r="A32" s="63"/>
      <c r="B32" s="71" t="s">
        <v>199</v>
      </c>
      <c r="C32" s="72"/>
      <c r="D32" s="66"/>
      <c r="E32" s="262">
        <v>1775.25</v>
      </c>
      <c r="F32" s="68">
        <v>12</v>
      </c>
      <c r="G32" s="73"/>
      <c r="H32" s="70"/>
      <c r="I32" s="458">
        <f>ROUND((1775.25*12),)</f>
        <v>21303</v>
      </c>
      <c r="J32" s="459"/>
      <c r="K32" s="458"/>
      <c r="L32" s="459"/>
    </row>
    <row r="33" spans="1:12" ht="15" customHeight="1">
      <c r="A33" s="63"/>
      <c r="B33" s="71" t="s">
        <v>200</v>
      </c>
      <c r="C33" s="72"/>
      <c r="D33" s="66"/>
      <c r="E33" s="262">
        <v>1775.25</v>
      </c>
      <c r="F33" s="68">
        <v>12</v>
      </c>
      <c r="G33" s="73"/>
      <c r="H33" s="70"/>
      <c r="I33" s="458"/>
      <c r="J33" s="459"/>
      <c r="K33" s="458">
        <f>ROUND((1775.25*12),)</f>
        <v>21303</v>
      </c>
      <c r="L33" s="459"/>
    </row>
    <row r="34" spans="1:12" ht="25.5" customHeight="1">
      <c r="A34" s="63"/>
      <c r="B34" s="71" t="s">
        <v>201</v>
      </c>
      <c r="C34" s="72"/>
      <c r="D34" s="66"/>
      <c r="E34" s="262"/>
      <c r="F34" s="68"/>
      <c r="G34" s="69"/>
      <c r="H34" s="70"/>
      <c r="I34" s="458"/>
      <c r="J34" s="459"/>
      <c r="K34" s="458"/>
      <c r="L34" s="459"/>
    </row>
    <row r="35" spans="1:12" ht="15" customHeight="1">
      <c r="A35" s="63"/>
      <c r="B35" s="71" t="s">
        <v>202</v>
      </c>
      <c r="C35" s="72"/>
      <c r="D35" s="66"/>
      <c r="E35" s="259">
        <v>940.4</v>
      </c>
      <c r="F35" s="68">
        <v>12</v>
      </c>
      <c r="G35" s="73">
        <f>ROUND((E35*F35),)</f>
        <v>11285</v>
      </c>
      <c r="H35" s="69">
        <f>G35</f>
        <v>11285</v>
      </c>
      <c r="I35" s="458"/>
      <c r="J35" s="459"/>
      <c r="K35" s="458"/>
      <c r="L35" s="459"/>
    </row>
    <row r="36" spans="1:12" ht="15" customHeight="1">
      <c r="A36" s="63"/>
      <c r="B36" s="71" t="s">
        <v>203</v>
      </c>
      <c r="C36" s="72"/>
      <c r="D36" s="66"/>
      <c r="E36" s="262">
        <v>940.4</v>
      </c>
      <c r="F36" s="68">
        <v>12</v>
      </c>
      <c r="G36" s="73"/>
      <c r="H36" s="69"/>
      <c r="I36" s="458">
        <f>ROUND((E36*F36),)</f>
        <v>11285</v>
      </c>
      <c r="J36" s="459"/>
      <c r="K36" s="458"/>
      <c r="L36" s="459"/>
    </row>
    <row r="37" spans="1:12" ht="15" customHeight="1">
      <c r="A37" s="63"/>
      <c r="B37" s="71" t="s">
        <v>204</v>
      </c>
      <c r="C37" s="72"/>
      <c r="D37" s="66"/>
      <c r="E37" s="262">
        <v>940.4</v>
      </c>
      <c r="F37" s="68">
        <v>12</v>
      </c>
      <c r="G37" s="73"/>
      <c r="H37" s="69"/>
      <c r="I37" s="458"/>
      <c r="J37" s="459"/>
      <c r="K37" s="458">
        <f>ROUND((E37*F37),)</f>
        <v>11285</v>
      </c>
      <c r="L37" s="459"/>
    </row>
    <row r="38" spans="1:12" ht="15" customHeight="1">
      <c r="A38" s="63"/>
      <c r="B38" s="71" t="s">
        <v>205</v>
      </c>
      <c r="C38" s="72"/>
      <c r="D38" s="66"/>
      <c r="E38" s="262">
        <f>E9*120%</f>
        <v>1252555.2</v>
      </c>
      <c r="F38" s="68">
        <v>12</v>
      </c>
      <c r="G38" s="69">
        <f>ROUND((E38*F38),)</f>
        <v>15030662</v>
      </c>
      <c r="H38" s="70">
        <f>SUM(G38)</f>
        <v>15030662</v>
      </c>
      <c r="I38" s="458"/>
      <c r="J38" s="459"/>
      <c r="K38" s="460"/>
      <c r="L38" s="461"/>
    </row>
    <row r="39" spans="1:12" ht="15" customHeight="1">
      <c r="A39" s="63"/>
      <c r="B39" s="71" t="s">
        <v>206</v>
      </c>
      <c r="C39" s="72"/>
      <c r="D39" s="66"/>
      <c r="E39" s="262">
        <f>E9*120%</f>
        <v>1252555.2</v>
      </c>
      <c r="F39" s="68">
        <v>12</v>
      </c>
      <c r="G39" s="69"/>
      <c r="H39" s="70"/>
      <c r="I39" s="458">
        <f>ROUND((E39*F39),)</f>
        <v>15030662</v>
      </c>
      <c r="J39" s="459"/>
      <c r="K39" s="460"/>
      <c r="L39" s="461"/>
    </row>
    <row r="40" spans="1:12" ht="15" customHeight="1">
      <c r="A40" s="63"/>
      <c r="B40" s="71" t="s">
        <v>207</v>
      </c>
      <c r="C40" s="72"/>
      <c r="D40" s="66"/>
      <c r="E40" s="262">
        <f>E11*120%</f>
        <v>1252555.2</v>
      </c>
      <c r="F40" s="68">
        <v>12</v>
      </c>
      <c r="G40" s="69"/>
      <c r="H40" s="70"/>
      <c r="I40" s="458"/>
      <c r="J40" s="459"/>
      <c r="K40" s="458">
        <f>ROUND((E40*F40),)</f>
        <v>15030662</v>
      </c>
      <c r="L40" s="459"/>
    </row>
    <row r="41" spans="1:12" ht="15" customHeight="1">
      <c r="A41" s="63"/>
      <c r="B41" s="71" t="s">
        <v>208</v>
      </c>
      <c r="C41" s="72"/>
      <c r="D41" s="66"/>
      <c r="E41" s="259">
        <f>4600*30*50%</f>
        <v>69000</v>
      </c>
      <c r="F41" s="68">
        <v>12</v>
      </c>
      <c r="G41" s="69">
        <f>ROUND((E41*F41),)</f>
        <v>828000</v>
      </c>
      <c r="H41" s="70">
        <f>SUM(G41)</f>
        <v>828000</v>
      </c>
      <c r="I41" s="458"/>
      <c r="J41" s="459"/>
      <c r="K41" s="460"/>
      <c r="L41" s="461"/>
    </row>
    <row r="42" spans="1:12" ht="15" customHeight="1">
      <c r="A42" s="63"/>
      <c r="B42" s="71" t="s">
        <v>209</v>
      </c>
      <c r="C42" s="72"/>
      <c r="D42" s="66"/>
      <c r="E42" s="262"/>
      <c r="F42" s="68"/>
      <c r="G42" s="69"/>
      <c r="H42" s="70"/>
      <c r="I42" s="74"/>
      <c r="J42" s="75"/>
      <c r="K42" s="74"/>
      <c r="L42" s="75"/>
    </row>
    <row r="43" spans="1:12" ht="15" customHeight="1">
      <c r="A43" s="63"/>
      <c r="B43" s="71" t="s">
        <v>208</v>
      </c>
      <c r="C43" s="72"/>
      <c r="D43" s="66"/>
      <c r="E43" s="262">
        <f>4600*30*50%</f>
        <v>69000</v>
      </c>
      <c r="F43" s="68">
        <v>12</v>
      </c>
      <c r="G43" s="69"/>
      <c r="H43" s="70"/>
      <c r="I43" s="458">
        <f>ROUND((E43*F43),)</f>
        <v>828000</v>
      </c>
      <c r="J43" s="459"/>
      <c r="K43" s="460"/>
      <c r="L43" s="461"/>
    </row>
    <row r="44" spans="1:12" ht="15" customHeight="1">
      <c r="A44" s="63"/>
      <c r="B44" s="71" t="s">
        <v>210</v>
      </c>
      <c r="C44" s="72"/>
      <c r="D44" s="66"/>
      <c r="E44" s="262"/>
      <c r="F44" s="68"/>
      <c r="G44" s="69"/>
      <c r="H44" s="70"/>
      <c r="I44" s="74"/>
      <c r="J44" s="75"/>
      <c r="K44" s="74"/>
      <c r="L44" s="75"/>
    </row>
    <row r="45" spans="1:12" ht="15" customHeight="1">
      <c r="A45" s="63"/>
      <c r="B45" s="71" t="s">
        <v>208</v>
      </c>
      <c r="C45" s="72"/>
      <c r="D45" s="66"/>
      <c r="E45" s="262">
        <f>4600*30*50%</f>
        <v>69000</v>
      </c>
      <c r="F45" s="68">
        <v>12</v>
      </c>
      <c r="G45" s="69"/>
      <c r="H45" s="70"/>
      <c r="I45" s="458"/>
      <c r="J45" s="459"/>
      <c r="K45" s="458">
        <f>ROUND((E45*F45),)</f>
        <v>828000</v>
      </c>
      <c r="L45" s="459"/>
    </row>
    <row r="46" spans="1:12" ht="15" customHeight="1">
      <c r="A46" s="63"/>
      <c r="B46" s="71" t="s">
        <v>211</v>
      </c>
      <c r="C46" s="72"/>
      <c r="D46" s="66"/>
      <c r="E46" s="262"/>
      <c r="F46" s="68"/>
      <c r="G46" s="69"/>
      <c r="H46" s="70"/>
      <c r="I46" s="74"/>
      <c r="J46" s="75"/>
      <c r="K46" s="260"/>
      <c r="L46" s="261"/>
    </row>
    <row r="47" spans="1:12" ht="15" customHeight="1">
      <c r="A47" s="63"/>
      <c r="B47" s="71" t="s">
        <v>212</v>
      </c>
      <c r="C47" s="72"/>
      <c r="D47" s="66"/>
      <c r="E47" s="259">
        <f>4723+472.3</f>
        <v>5195.3</v>
      </c>
      <c r="F47" s="68">
        <v>4</v>
      </c>
      <c r="G47" s="69">
        <f>ROUND((E47*F47),)</f>
        <v>20781</v>
      </c>
      <c r="H47" s="70">
        <f>SUM(G47)</f>
        <v>20781</v>
      </c>
      <c r="I47" s="458"/>
      <c r="J47" s="459"/>
      <c r="K47" s="458"/>
      <c r="L47" s="459"/>
    </row>
    <row r="48" spans="1:12" ht="15" customHeight="1">
      <c r="A48" s="63"/>
      <c r="B48" s="71" t="s">
        <v>213</v>
      </c>
      <c r="C48" s="72"/>
      <c r="D48" s="66"/>
      <c r="E48" s="262"/>
      <c r="F48" s="68"/>
      <c r="G48" s="69"/>
      <c r="H48" s="70"/>
      <c r="I48" s="460"/>
      <c r="J48" s="461"/>
      <c r="K48" s="458"/>
      <c r="L48" s="459"/>
    </row>
    <row r="49" spans="1:12" ht="15" customHeight="1">
      <c r="A49" s="63"/>
      <c r="B49" s="71" t="s">
        <v>212</v>
      </c>
      <c r="C49" s="72"/>
      <c r="D49" s="66"/>
      <c r="E49" s="262">
        <f>5003+500.3</f>
        <v>5503.3</v>
      </c>
      <c r="F49" s="68">
        <v>4</v>
      </c>
      <c r="G49" s="69"/>
      <c r="H49" s="70"/>
      <c r="I49" s="458">
        <f>ROUND((E49*F49),)</f>
        <v>22013</v>
      </c>
      <c r="J49" s="459"/>
      <c r="K49" s="458"/>
      <c r="L49" s="459"/>
    </row>
    <row r="50" spans="1:12" ht="15" customHeight="1">
      <c r="A50" s="63"/>
      <c r="B50" s="71" t="s">
        <v>214</v>
      </c>
      <c r="C50" s="72"/>
      <c r="D50" s="66"/>
      <c r="E50" s="262"/>
      <c r="F50" s="68"/>
      <c r="G50" s="69"/>
      <c r="H50" s="70"/>
      <c r="I50" s="460"/>
      <c r="J50" s="461"/>
      <c r="K50" s="458"/>
      <c r="L50" s="459"/>
    </row>
    <row r="51" spans="1:12" ht="15" customHeight="1">
      <c r="A51" s="63"/>
      <c r="B51" s="71" t="s">
        <v>212</v>
      </c>
      <c r="C51" s="72"/>
      <c r="D51" s="66"/>
      <c r="E51" s="262">
        <f>5290+529</f>
        <v>5819</v>
      </c>
      <c r="F51" s="68">
        <v>4</v>
      </c>
      <c r="G51" s="69"/>
      <c r="H51" s="70"/>
      <c r="I51" s="458"/>
      <c r="J51" s="459"/>
      <c r="K51" s="458">
        <f>ROUND((E51*F51),)</f>
        <v>23276</v>
      </c>
      <c r="L51" s="459"/>
    </row>
    <row r="52" spans="1:12" ht="15" customHeight="1">
      <c r="A52" s="63"/>
      <c r="B52" s="71" t="s">
        <v>215</v>
      </c>
      <c r="C52" s="72"/>
      <c r="D52" s="66"/>
      <c r="E52" s="262"/>
      <c r="F52" s="68"/>
      <c r="G52" s="69"/>
      <c r="H52" s="70"/>
      <c r="I52" s="460"/>
      <c r="J52" s="461"/>
      <c r="K52" s="458"/>
      <c r="L52" s="459"/>
    </row>
    <row r="53" spans="1:12" ht="15" customHeight="1">
      <c r="A53" s="63"/>
      <c r="B53" s="71" t="s">
        <v>216</v>
      </c>
      <c r="C53" s="72"/>
      <c r="D53" s="66"/>
      <c r="E53" s="262"/>
      <c r="F53" s="68"/>
      <c r="G53" s="69">
        <f>ROUND((1043796+E38+E14+E17+E19+E41-39264),)</f>
        <v>3129394</v>
      </c>
      <c r="H53" s="70">
        <f>SUM(G53)</f>
        <v>3129394</v>
      </c>
      <c r="I53" s="458"/>
      <c r="J53" s="459"/>
      <c r="K53" s="458"/>
      <c r="L53" s="459"/>
    </row>
    <row r="54" spans="1:12" ht="15" customHeight="1">
      <c r="A54" s="63"/>
      <c r="B54" s="71" t="s">
        <v>217</v>
      </c>
      <c r="C54" s="72"/>
      <c r="D54" s="66"/>
      <c r="E54" s="262"/>
      <c r="F54" s="68"/>
      <c r="G54" s="69"/>
      <c r="H54" s="70"/>
      <c r="I54" s="458">
        <f>ROUND((G53-1.7),)</f>
        <v>3129392</v>
      </c>
      <c r="J54" s="459"/>
      <c r="K54" s="458"/>
      <c r="L54" s="459"/>
    </row>
    <row r="55" spans="1:12" ht="15" customHeight="1">
      <c r="A55" s="63"/>
      <c r="B55" s="71" t="s">
        <v>217</v>
      </c>
      <c r="C55" s="72"/>
      <c r="D55" s="66"/>
      <c r="E55" s="262"/>
      <c r="F55" s="68"/>
      <c r="G55" s="69"/>
      <c r="H55" s="70"/>
      <c r="I55" s="458"/>
      <c r="J55" s="459"/>
      <c r="K55" s="458">
        <f>ROUND((G53+5.4),)</f>
        <v>3129399</v>
      </c>
      <c r="L55" s="459"/>
    </row>
    <row r="56" spans="1:12" ht="12.75">
      <c r="A56" s="63"/>
      <c r="B56" s="71" t="s">
        <v>218</v>
      </c>
      <c r="C56" s="72"/>
      <c r="D56" s="66"/>
      <c r="E56" s="262"/>
      <c r="F56" s="68"/>
      <c r="G56" s="69">
        <f>G53-19505</f>
        <v>3109889</v>
      </c>
      <c r="H56" s="70">
        <f>SUM(G56)</f>
        <v>3109889</v>
      </c>
      <c r="I56" s="458"/>
      <c r="J56" s="459"/>
      <c r="K56" s="458"/>
      <c r="L56" s="459"/>
    </row>
    <row r="57" spans="1:12" ht="12.75">
      <c r="A57" s="63"/>
      <c r="B57" s="71" t="s">
        <v>218</v>
      </c>
      <c r="C57" s="72"/>
      <c r="D57" s="66"/>
      <c r="E57" s="262"/>
      <c r="F57" s="68"/>
      <c r="G57" s="69"/>
      <c r="H57" s="70"/>
      <c r="I57" s="458">
        <f>G56</f>
        <v>3109889</v>
      </c>
      <c r="J57" s="459"/>
      <c r="K57" s="458"/>
      <c r="L57" s="459"/>
    </row>
    <row r="58" spans="1:12" ht="12.75">
      <c r="A58" s="63"/>
      <c r="B58" s="71" t="s">
        <v>218</v>
      </c>
      <c r="C58" s="72"/>
      <c r="D58" s="66"/>
      <c r="E58" s="262"/>
      <c r="F58" s="68"/>
      <c r="G58" s="69"/>
      <c r="H58" s="70"/>
      <c r="I58" s="458"/>
      <c r="J58" s="459"/>
      <c r="K58" s="458">
        <f>G56</f>
        <v>3109889</v>
      </c>
      <c r="L58" s="459"/>
    </row>
    <row r="59" spans="1:12" ht="15" customHeight="1">
      <c r="A59" s="63"/>
      <c r="B59" s="71" t="s">
        <v>219</v>
      </c>
      <c r="C59" s="72"/>
      <c r="D59" s="76"/>
      <c r="E59" s="263">
        <f>195*232.44</f>
        <v>45325.8</v>
      </c>
      <c r="F59" s="68">
        <v>12</v>
      </c>
      <c r="G59" s="69">
        <f>ROUND((E59*F59),)</f>
        <v>543910</v>
      </c>
      <c r="H59" s="70">
        <f>SUM(G59)</f>
        <v>543910</v>
      </c>
      <c r="I59" s="458"/>
      <c r="J59" s="459"/>
      <c r="K59" s="458"/>
      <c r="L59" s="459"/>
    </row>
    <row r="60" spans="1:12" ht="15" customHeight="1">
      <c r="A60" s="63"/>
      <c r="B60" s="71" t="s">
        <v>220</v>
      </c>
      <c r="C60" s="72"/>
      <c r="D60" s="76"/>
      <c r="E60" s="263">
        <f>195*117.72</f>
        <v>22955.4</v>
      </c>
      <c r="F60" s="68">
        <v>12</v>
      </c>
      <c r="G60" s="69"/>
      <c r="H60" s="70"/>
      <c r="I60" s="458">
        <f>ROUND((E60*F60+6.9),)</f>
        <v>275472</v>
      </c>
      <c r="J60" s="459"/>
      <c r="K60" s="458"/>
      <c r="L60" s="459"/>
    </row>
    <row r="61" spans="1:12" ht="15" customHeight="1">
      <c r="A61" s="63"/>
      <c r="B61" s="71" t="s">
        <v>221</v>
      </c>
      <c r="C61" s="72"/>
      <c r="D61" s="76"/>
      <c r="E61" s="263">
        <f>195*171.91</f>
        <v>33522.45</v>
      </c>
      <c r="F61" s="68">
        <v>12</v>
      </c>
      <c r="G61" s="69"/>
      <c r="H61" s="70"/>
      <c r="I61" s="458"/>
      <c r="J61" s="459"/>
      <c r="K61" s="458">
        <f>ROUND((E61*F61),)</f>
        <v>402269</v>
      </c>
      <c r="L61" s="459"/>
    </row>
    <row r="62" spans="1:12" ht="12.75">
      <c r="A62" s="57">
        <v>2111</v>
      </c>
      <c r="B62" s="77" t="s">
        <v>88</v>
      </c>
      <c r="C62" s="77"/>
      <c r="D62" s="78"/>
      <c r="E62" s="78"/>
      <c r="F62" s="79"/>
      <c r="G62" s="80">
        <f>H62+I62+K62</f>
        <v>134204851</v>
      </c>
      <c r="H62" s="80">
        <f>SUM(H8:H61)</f>
        <v>44870400</v>
      </c>
      <c r="I62" s="211">
        <f>SUM(I8:J61)</f>
        <v>44603192</v>
      </c>
      <c r="J62" s="212"/>
      <c r="K62" s="211">
        <f>SUM(K8:L61)</f>
        <v>44731259</v>
      </c>
      <c r="L62" s="212"/>
    </row>
    <row r="63" spans="1:12" ht="14.25" customHeight="1">
      <c r="A63" s="81">
        <v>2120</v>
      </c>
      <c r="B63" s="82" t="s">
        <v>222</v>
      </c>
      <c r="C63" s="82"/>
      <c r="D63" s="83"/>
      <c r="E63" s="83"/>
      <c r="F63" s="84"/>
      <c r="G63" s="85">
        <f>K63+I63+H63</f>
        <v>29785493</v>
      </c>
      <c r="H63" s="85">
        <f>H65+H66+H67+H68</f>
        <v>9856002</v>
      </c>
      <c r="I63" s="213">
        <f>I65+I66+I67+I68</f>
        <v>9950658</v>
      </c>
      <c r="J63" s="214"/>
      <c r="K63" s="213">
        <f>K65+K66+K67+K68</f>
        <v>9978833</v>
      </c>
      <c r="L63" s="214"/>
    </row>
    <row r="64" spans="1:12" ht="30" customHeight="1">
      <c r="A64" s="63"/>
      <c r="B64" s="72" t="s">
        <v>223</v>
      </c>
      <c r="C64" s="72"/>
      <c r="D64" s="67"/>
      <c r="E64" s="67">
        <f>G62-E65</f>
        <v>133450173.4</v>
      </c>
      <c r="F64" s="86"/>
      <c r="G64" s="87">
        <f>H64+I64+K64</f>
        <v>131940818.19999999</v>
      </c>
      <c r="H64" s="88">
        <f>H62-E65</f>
        <v>44115722.4</v>
      </c>
      <c r="I64" s="215">
        <f>I62-E65</f>
        <v>43848514.4</v>
      </c>
      <c r="J64" s="216"/>
      <c r="K64" s="215">
        <f>K62-E65</f>
        <v>43976581.4</v>
      </c>
      <c r="L64" s="216"/>
    </row>
    <row r="65" spans="1:12" ht="35.25" customHeight="1">
      <c r="A65" s="63"/>
      <c r="B65" s="72" t="s">
        <v>224</v>
      </c>
      <c r="C65" s="72"/>
      <c r="D65" s="67"/>
      <c r="E65" s="67">
        <v>754677.6</v>
      </c>
      <c r="F65" s="86"/>
      <c r="G65" s="87">
        <f>H65+I65+K65</f>
        <v>190404</v>
      </c>
      <c r="H65" s="88">
        <f>ROUND((E65*8.41%),)</f>
        <v>63468</v>
      </c>
      <c r="I65" s="217">
        <f>H65</f>
        <v>63468</v>
      </c>
      <c r="J65" s="218"/>
      <c r="K65" s="215">
        <f>I65</f>
        <v>63468</v>
      </c>
      <c r="L65" s="216"/>
    </row>
    <row r="66" spans="1:12" ht="15" customHeight="1">
      <c r="A66" s="63"/>
      <c r="B66" s="72" t="s">
        <v>225</v>
      </c>
      <c r="C66" s="72"/>
      <c r="D66" s="67"/>
      <c r="E66" s="67"/>
      <c r="F66" s="86"/>
      <c r="G66" s="87">
        <f>H66+I66+K66</f>
        <v>29026980</v>
      </c>
      <c r="H66" s="88">
        <f>ROUND((H64*22%),)</f>
        <v>9705459</v>
      </c>
      <c r="I66" s="215">
        <f>ROUND((I64*22%),)</f>
        <v>9646673</v>
      </c>
      <c r="J66" s="216"/>
      <c r="K66" s="215">
        <f>ROUND((K64*22%),)</f>
        <v>9674848</v>
      </c>
      <c r="L66" s="216"/>
    </row>
    <row r="67" spans="1:12" ht="15" customHeight="1">
      <c r="A67" s="63"/>
      <c r="B67" s="72" t="s">
        <v>226</v>
      </c>
      <c r="C67" s="72"/>
      <c r="D67" s="67"/>
      <c r="E67" s="67"/>
      <c r="F67" s="86"/>
      <c r="G67" s="87">
        <v>0</v>
      </c>
      <c r="H67" s="88">
        <f>SUM(G67)</f>
        <v>0</v>
      </c>
      <c r="I67" s="217">
        <f>G67*1.094</f>
        <v>0</v>
      </c>
      <c r="J67" s="218"/>
      <c r="K67" s="215">
        <f>I67*1.076</f>
        <v>0</v>
      </c>
      <c r="L67" s="216"/>
    </row>
    <row r="68" spans="1:12" ht="30" customHeight="1">
      <c r="A68" s="63"/>
      <c r="B68" s="72" t="s">
        <v>545</v>
      </c>
      <c r="C68" s="72"/>
      <c r="D68" s="67"/>
      <c r="E68" s="67"/>
      <c r="F68" s="86"/>
      <c r="G68" s="87">
        <f>H68+I68+K68</f>
        <v>568109</v>
      </c>
      <c r="H68" s="88">
        <f>ROUND((395795*22%),)</f>
        <v>87075</v>
      </c>
      <c r="I68" s="217">
        <f>ROUND((1093260*22%),)</f>
        <v>240517</v>
      </c>
      <c r="J68" s="218"/>
      <c r="K68" s="217">
        <f>ROUND((1093260*22%),)</f>
        <v>240517</v>
      </c>
      <c r="L68" s="218"/>
    </row>
    <row r="69" spans="1:12" ht="12.75">
      <c r="A69" s="57">
        <v>2200</v>
      </c>
      <c r="B69" s="89" t="s">
        <v>227</v>
      </c>
      <c r="C69" s="89"/>
      <c r="D69" s="90"/>
      <c r="E69" s="90"/>
      <c r="F69" s="91"/>
      <c r="G69" s="80">
        <f>G70+G239+G297+G300+G320</f>
        <v>13135453</v>
      </c>
      <c r="H69" s="80">
        <f>H70+H239+H297+H300+H320</f>
        <v>2410517</v>
      </c>
      <c r="I69" s="80"/>
      <c r="J69" s="80">
        <f>J70+J239+J297+J300+J320</f>
        <v>4650656</v>
      </c>
      <c r="K69" s="80"/>
      <c r="L69" s="80">
        <f>L70+L239+L297+L300+L320</f>
        <v>6746657</v>
      </c>
    </row>
    <row r="70" spans="1:12" ht="26.25">
      <c r="A70" s="92">
        <v>2210</v>
      </c>
      <c r="B70" s="93" t="s">
        <v>92</v>
      </c>
      <c r="C70" s="93"/>
      <c r="D70" s="83"/>
      <c r="E70" s="83"/>
      <c r="F70" s="84"/>
      <c r="G70" s="85">
        <f>G71+G99+G100+G177+G189+G220+G232</f>
        <v>4474612</v>
      </c>
      <c r="H70" s="85">
        <f>H71+H99+H100+H177+H189+H220+H232</f>
        <v>757406</v>
      </c>
      <c r="I70" s="85"/>
      <c r="J70" s="85">
        <f>J71+J99+J100+J177+J189+J220+J232</f>
        <v>1562514</v>
      </c>
      <c r="K70" s="85"/>
      <c r="L70" s="85">
        <f>L71+L99+L100+L177+L189+L220+L232</f>
        <v>2827069</v>
      </c>
    </row>
    <row r="71" spans="1:12" s="99" customFormat="1" ht="12.75">
      <c r="A71" s="94"/>
      <c r="B71" s="95" t="s">
        <v>228</v>
      </c>
      <c r="C71" s="96"/>
      <c r="D71" s="97"/>
      <c r="E71" s="97"/>
      <c r="F71" s="98"/>
      <c r="G71" s="98">
        <f>SUM(G72:G98)</f>
        <v>224102</v>
      </c>
      <c r="H71" s="98">
        <f>SUM(H72:H98)</f>
        <v>70924</v>
      </c>
      <c r="I71" s="98"/>
      <c r="J71" s="98">
        <f>SUM(J72:J98)</f>
        <v>74683</v>
      </c>
      <c r="K71" s="98"/>
      <c r="L71" s="98">
        <f>SUM(L72:L98)</f>
        <v>78495</v>
      </c>
    </row>
    <row r="72" spans="1:12" ht="12.75">
      <c r="A72" s="100"/>
      <c r="B72" s="101" t="s">
        <v>229</v>
      </c>
      <c r="C72" s="101" t="s">
        <v>230</v>
      </c>
      <c r="D72" s="102">
        <f>'[1] 2210,2240 за підроздіами'!E72</f>
        <v>0.982</v>
      </c>
      <c r="E72" s="102">
        <f>ROUND((D72*105.5%),2)</f>
        <v>1.04</v>
      </c>
      <c r="F72" s="103">
        <v>9000</v>
      </c>
      <c r="G72" s="87">
        <f>SUM(L72+J72+H72)</f>
        <v>29575</v>
      </c>
      <c r="H72" s="88">
        <f>ROUND((E72*F72),)</f>
        <v>9360</v>
      </c>
      <c r="I72" s="104">
        <f aca="true" t="shared" si="0" ref="I72:I99">F72</f>
        <v>9000</v>
      </c>
      <c r="J72" s="87">
        <f>ROUND((H72*105.3%),)</f>
        <v>9856</v>
      </c>
      <c r="K72" s="104">
        <f aca="true" t="shared" si="1" ref="K72:K99">F72</f>
        <v>9000</v>
      </c>
      <c r="L72" s="87">
        <f>ROUND((J72*105.1%),)</f>
        <v>10359</v>
      </c>
    </row>
    <row r="73" spans="1:12" ht="12.75">
      <c r="A73" s="100"/>
      <c r="B73" s="101" t="s">
        <v>231</v>
      </c>
      <c r="C73" s="101" t="s">
        <v>230</v>
      </c>
      <c r="D73" s="102">
        <f>'[1] 2210,2240 за підроздіами'!E74</f>
        <v>0.2305</v>
      </c>
      <c r="E73" s="102">
        <f aca="true" t="shared" si="2" ref="E73:E98">ROUND((D73*105.5%),2)</f>
        <v>0.24</v>
      </c>
      <c r="F73" s="103">
        <f>-9000+'[1] 2210,2240 за підроздіами'!F74</f>
        <v>20000</v>
      </c>
      <c r="G73" s="87">
        <f aca="true" t="shared" si="3" ref="G73:G99">SUM(L73+J73+H73)</f>
        <v>15166</v>
      </c>
      <c r="H73" s="88">
        <f aca="true" t="shared" si="4" ref="H73:H99">ROUND((E73*F73),)</f>
        <v>4800</v>
      </c>
      <c r="I73" s="104">
        <f t="shared" si="0"/>
        <v>20000</v>
      </c>
      <c r="J73" s="87">
        <f aca="true" t="shared" si="5" ref="J73:J98">ROUND((H73*105.3%),)</f>
        <v>5054</v>
      </c>
      <c r="K73" s="104">
        <f t="shared" si="1"/>
        <v>20000</v>
      </c>
      <c r="L73" s="87">
        <f aca="true" t="shared" si="6" ref="L73:L98">ROUND((J73*105.1%),)</f>
        <v>5312</v>
      </c>
    </row>
    <row r="74" spans="1:12" ht="12.75">
      <c r="A74" s="100"/>
      <c r="B74" s="105" t="s">
        <v>232</v>
      </c>
      <c r="C74" s="101" t="s">
        <v>230</v>
      </c>
      <c r="D74" s="102">
        <f>'[1] 2210,2240 за підроздіами'!E75</f>
        <v>90</v>
      </c>
      <c r="E74" s="102">
        <f t="shared" si="2"/>
        <v>94.95</v>
      </c>
      <c r="F74" s="103">
        <v>8</v>
      </c>
      <c r="G74" s="87">
        <f t="shared" si="3"/>
        <v>2401</v>
      </c>
      <c r="H74" s="88">
        <f t="shared" si="4"/>
        <v>760</v>
      </c>
      <c r="I74" s="104">
        <f t="shared" si="0"/>
        <v>8</v>
      </c>
      <c r="J74" s="87">
        <f t="shared" si="5"/>
        <v>800</v>
      </c>
      <c r="K74" s="104">
        <f t="shared" si="1"/>
        <v>8</v>
      </c>
      <c r="L74" s="87">
        <f t="shared" si="6"/>
        <v>841</v>
      </c>
    </row>
    <row r="75" spans="1:12" ht="12.75">
      <c r="A75" s="100"/>
      <c r="B75" s="101" t="s">
        <v>233</v>
      </c>
      <c r="C75" s="101" t="s">
        <v>230</v>
      </c>
      <c r="D75" s="102">
        <f>'[1] 2210,2240 за підроздіами'!E76</f>
        <v>151</v>
      </c>
      <c r="E75" s="102">
        <f t="shared" si="2"/>
        <v>159.31</v>
      </c>
      <c r="F75" s="103">
        <v>14</v>
      </c>
      <c r="G75" s="87">
        <f t="shared" si="3"/>
        <v>7046</v>
      </c>
      <c r="H75" s="88">
        <f t="shared" si="4"/>
        <v>2230</v>
      </c>
      <c r="I75" s="104">
        <f t="shared" si="0"/>
        <v>14</v>
      </c>
      <c r="J75" s="87">
        <f t="shared" si="5"/>
        <v>2348</v>
      </c>
      <c r="K75" s="104">
        <f t="shared" si="1"/>
        <v>14</v>
      </c>
      <c r="L75" s="87">
        <f t="shared" si="6"/>
        <v>2468</v>
      </c>
    </row>
    <row r="76" spans="1:12" ht="12.75">
      <c r="A76" s="100"/>
      <c r="B76" s="105" t="s">
        <v>234</v>
      </c>
      <c r="C76" s="101" t="s">
        <v>230</v>
      </c>
      <c r="D76" s="102">
        <f>'[1] 2210,2240 за підроздіами'!E77</f>
        <v>148</v>
      </c>
      <c r="E76" s="102">
        <f t="shared" si="2"/>
        <v>156.14</v>
      </c>
      <c r="F76" s="103">
        <v>6</v>
      </c>
      <c r="G76" s="87">
        <f t="shared" si="3"/>
        <v>2961</v>
      </c>
      <c r="H76" s="88">
        <f t="shared" si="4"/>
        <v>937</v>
      </c>
      <c r="I76" s="104">
        <f t="shared" si="0"/>
        <v>6</v>
      </c>
      <c r="J76" s="87">
        <f t="shared" si="5"/>
        <v>987</v>
      </c>
      <c r="K76" s="104">
        <f t="shared" si="1"/>
        <v>6</v>
      </c>
      <c r="L76" s="87">
        <f t="shared" si="6"/>
        <v>1037</v>
      </c>
    </row>
    <row r="77" spans="1:12" ht="12.75">
      <c r="A77" s="100"/>
      <c r="B77" s="105" t="s">
        <v>235</v>
      </c>
      <c r="C77" s="101" t="s">
        <v>230</v>
      </c>
      <c r="D77" s="102">
        <f>'[1] 2210,2240 за підроздіами'!E80</f>
        <v>83</v>
      </c>
      <c r="E77" s="102">
        <f t="shared" si="2"/>
        <v>87.57</v>
      </c>
      <c r="F77" s="103">
        <v>1</v>
      </c>
      <c r="G77" s="87">
        <f t="shared" si="3"/>
        <v>279</v>
      </c>
      <c r="H77" s="88">
        <f t="shared" si="4"/>
        <v>88</v>
      </c>
      <c r="I77" s="104">
        <f t="shared" si="0"/>
        <v>1</v>
      </c>
      <c r="J77" s="87">
        <f t="shared" si="5"/>
        <v>93</v>
      </c>
      <c r="K77" s="104">
        <f t="shared" si="1"/>
        <v>1</v>
      </c>
      <c r="L77" s="87">
        <f t="shared" si="6"/>
        <v>98</v>
      </c>
    </row>
    <row r="78" spans="1:12" ht="12.75">
      <c r="A78" s="100"/>
      <c r="B78" s="105" t="s">
        <v>236</v>
      </c>
      <c r="C78" s="101" t="s">
        <v>230</v>
      </c>
      <c r="D78" s="102">
        <f>'[1] 2210,2240 за підроздіами'!E81</f>
        <v>60</v>
      </c>
      <c r="E78" s="102">
        <f t="shared" si="2"/>
        <v>63.3</v>
      </c>
      <c r="F78" s="103">
        <v>2</v>
      </c>
      <c r="G78" s="87">
        <f t="shared" si="3"/>
        <v>402</v>
      </c>
      <c r="H78" s="88">
        <f t="shared" si="4"/>
        <v>127</v>
      </c>
      <c r="I78" s="104">
        <f t="shared" si="0"/>
        <v>2</v>
      </c>
      <c r="J78" s="87">
        <f t="shared" si="5"/>
        <v>134</v>
      </c>
      <c r="K78" s="104">
        <f t="shared" si="1"/>
        <v>2</v>
      </c>
      <c r="L78" s="87">
        <f t="shared" si="6"/>
        <v>141</v>
      </c>
    </row>
    <row r="79" spans="1:12" ht="12.75">
      <c r="A79" s="100"/>
      <c r="B79" s="105" t="s">
        <v>237</v>
      </c>
      <c r="C79" s="101" t="s">
        <v>230</v>
      </c>
      <c r="D79" s="102">
        <f>'[1] 2210,2240 за підроздіами'!E82</f>
        <v>146</v>
      </c>
      <c r="E79" s="102">
        <f t="shared" si="2"/>
        <v>154.03</v>
      </c>
      <c r="F79" s="103">
        <v>10</v>
      </c>
      <c r="G79" s="87">
        <f t="shared" si="3"/>
        <v>4867</v>
      </c>
      <c r="H79" s="88">
        <f t="shared" si="4"/>
        <v>1540</v>
      </c>
      <c r="I79" s="104">
        <f t="shared" si="0"/>
        <v>10</v>
      </c>
      <c r="J79" s="87">
        <f t="shared" si="5"/>
        <v>1622</v>
      </c>
      <c r="K79" s="104">
        <f t="shared" si="1"/>
        <v>10</v>
      </c>
      <c r="L79" s="87">
        <f t="shared" si="6"/>
        <v>1705</v>
      </c>
    </row>
    <row r="80" spans="1:12" ht="26.25">
      <c r="A80" s="100"/>
      <c r="B80" s="105" t="s">
        <v>238</v>
      </c>
      <c r="C80" s="101" t="s">
        <v>230</v>
      </c>
      <c r="D80" s="102">
        <f>'[1] 2210,2240 за підроздіами'!E83</f>
        <v>150</v>
      </c>
      <c r="E80" s="102">
        <f t="shared" si="2"/>
        <v>158.25</v>
      </c>
      <c r="F80" s="103">
        <v>2</v>
      </c>
      <c r="G80" s="87">
        <f t="shared" si="3"/>
        <v>1002</v>
      </c>
      <c r="H80" s="88">
        <f t="shared" si="4"/>
        <v>317</v>
      </c>
      <c r="I80" s="104">
        <f t="shared" si="0"/>
        <v>2</v>
      </c>
      <c r="J80" s="87">
        <f t="shared" si="5"/>
        <v>334</v>
      </c>
      <c r="K80" s="104">
        <f t="shared" si="1"/>
        <v>2</v>
      </c>
      <c r="L80" s="87">
        <f t="shared" si="6"/>
        <v>351</v>
      </c>
    </row>
    <row r="81" spans="1:12" ht="26.25">
      <c r="A81" s="100"/>
      <c r="B81" s="105" t="s">
        <v>239</v>
      </c>
      <c r="C81" s="101" t="s">
        <v>230</v>
      </c>
      <c r="D81" s="102">
        <v>233</v>
      </c>
      <c r="E81" s="102">
        <f t="shared" si="2"/>
        <v>245.82</v>
      </c>
      <c r="F81" s="103">
        <v>10</v>
      </c>
      <c r="G81" s="87">
        <f t="shared" si="3"/>
        <v>7766</v>
      </c>
      <c r="H81" s="88">
        <f t="shared" si="4"/>
        <v>2458</v>
      </c>
      <c r="I81" s="104">
        <f t="shared" si="0"/>
        <v>10</v>
      </c>
      <c r="J81" s="87">
        <f t="shared" si="5"/>
        <v>2588</v>
      </c>
      <c r="K81" s="104">
        <f t="shared" si="1"/>
        <v>10</v>
      </c>
      <c r="L81" s="87">
        <f t="shared" si="6"/>
        <v>2720</v>
      </c>
    </row>
    <row r="82" spans="1:12" ht="26.25">
      <c r="A82" s="100"/>
      <c r="B82" s="105" t="s">
        <v>240</v>
      </c>
      <c r="C82" s="101" t="s">
        <v>230</v>
      </c>
      <c r="D82" s="102">
        <f>'[1] 2210,2240 за підроздіами'!E85</f>
        <v>158</v>
      </c>
      <c r="E82" s="102">
        <f t="shared" si="2"/>
        <v>166.69</v>
      </c>
      <c r="F82" s="103">
        <v>20</v>
      </c>
      <c r="G82" s="87">
        <f t="shared" si="3"/>
        <v>10535</v>
      </c>
      <c r="H82" s="88">
        <f t="shared" si="4"/>
        <v>3334</v>
      </c>
      <c r="I82" s="104">
        <f t="shared" si="0"/>
        <v>20</v>
      </c>
      <c r="J82" s="87">
        <f t="shared" si="5"/>
        <v>3511</v>
      </c>
      <c r="K82" s="104">
        <f t="shared" si="1"/>
        <v>20</v>
      </c>
      <c r="L82" s="87">
        <f t="shared" si="6"/>
        <v>3690</v>
      </c>
    </row>
    <row r="83" spans="1:12" ht="26.25">
      <c r="A83" s="100"/>
      <c r="B83" s="105" t="s">
        <v>241</v>
      </c>
      <c r="C83" s="101" t="s">
        <v>230</v>
      </c>
      <c r="D83" s="102">
        <f>'[1] 2210,2240 за підроздіами'!E86</f>
        <v>146</v>
      </c>
      <c r="E83" s="102">
        <f t="shared" si="2"/>
        <v>154.03</v>
      </c>
      <c r="F83" s="103">
        <v>2</v>
      </c>
      <c r="G83" s="87">
        <f t="shared" si="3"/>
        <v>973</v>
      </c>
      <c r="H83" s="88">
        <f t="shared" si="4"/>
        <v>308</v>
      </c>
      <c r="I83" s="104">
        <f t="shared" si="0"/>
        <v>2</v>
      </c>
      <c r="J83" s="87">
        <f t="shared" si="5"/>
        <v>324</v>
      </c>
      <c r="K83" s="104">
        <f t="shared" si="1"/>
        <v>2</v>
      </c>
      <c r="L83" s="87">
        <f t="shared" si="6"/>
        <v>341</v>
      </c>
    </row>
    <row r="84" spans="1:12" ht="26.25">
      <c r="A84" s="100"/>
      <c r="B84" s="105" t="s">
        <v>242</v>
      </c>
      <c r="C84" s="101" t="s">
        <v>230</v>
      </c>
      <c r="D84" s="102">
        <f>'[1] 2210,2240 за підроздіами'!E87</f>
        <v>151</v>
      </c>
      <c r="E84" s="102">
        <f t="shared" si="2"/>
        <v>159.31</v>
      </c>
      <c r="F84" s="103">
        <v>1</v>
      </c>
      <c r="G84" s="87">
        <f t="shared" si="3"/>
        <v>502</v>
      </c>
      <c r="H84" s="88">
        <f t="shared" si="4"/>
        <v>159</v>
      </c>
      <c r="I84" s="104">
        <f t="shared" si="0"/>
        <v>1</v>
      </c>
      <c r="J84" s="87">
        <f t="shared" si="5"/>
        <v>167</v>
      </c>
      <c r="K84" s="104">
        <f t="shared" si="1"/>
        <v>1</v>
      </c>
      <c r="L84" s="87">
        <f t="shared" si="6"/>
        <v>176</v>
      </c>
    </row>
    <row r="85" spans="1:12" ht="12.75">
      <c r="A85" s="100"/>
      <c r="B85" s="101" t="s">
        <v>243</v>
      </c>
      <c r="C85" s="101" t="s">
        <v>230</v>
      </c>
      <c r="D85" s="102">
        <f>'[1] 2210,2240 за підроздіами'!E88</f>
        <v>146</v>
      </c>
      <c r="E85" s="102">
        <f t="shared" si="2"/>
        <v>154.03</v>
      </c>
      <c r="F85" s="103">
        <v>10</v>
      </c>
      <c r="G85" s="87">
        <f t="shared" si="3"/>
        <v>4867</v>
      </c>
      <c r="H85" s="88">
        <f t="shared" si="4"/>
        <v>1540</v>
      </c>
      <c r="I85" s="104">
        <f t="shared" si="0"/>
        <v>10</v>
      </c>
      <c r="J85" s="87">
        <f t="shared" si="5"/>
        <v>1622</v>
      </c>
      <c r="K85" s="104">
        <f t="shared" si="1"/>
        <v>10</v>
      </c>
      <c r="L85" s="87">
        <f t="shared" si="6"/>
        <v>1705</v>
      </c>
    </row>
    <row r="86" spans="1:12" ht="12.75">
      <c r="A86" s="100"/>
      <c r="B86" s="101" t="s">
        <v>244</v>
      </c>
      <c r="C86" s="101" t="s">
        <v>230</v>
      </c>
      <c r="D86" s="102">
        <f>'[1] 2210,2240 за підроздіами'!E89</f>
        <v>145</v>
      </c>
      <c r="E86" s="102">
        <f t="shared" si="2"/>
        <v>152.98</v>
      </c>
      <c r="F86" s="103">
        <v>30</v>
      </c>
      <c r="G86" s="87">
        <f t="shared" si="3"/>
        <v>14499</v>
      </c>
      <c r="H86" s="88">
        <f t="shared" si="4"/>
        <v>4589</v>
      </c>
      <c r="I86" s="104">
        <f t="shared" si="0"/>
        <v>30</v>
      </c>
      <c r="J86" s="87">
        <f t="shared" si="5"/>
        <v>4832</v>
      </c>
      <c r="K86" s="104">
        <f t="shared" si="1"/>
        <v>30</v>
      </c>
      <c r="L86" s="87">
        <f t="shared" si="6"/>
        <v>5078</v>
      </c>
    </row>
    <row r="87" spans="1:12" ht="12.75">
      <c r="A87" s="100"/>
      <c r="B87" s="101" t="s">
        <v>245</v>
      </c>
      <c r="C87" s="101" t="s">
        <v>230</v>
      </c>
      <c r="D87" s="102">
        <v>140</v>
      </c>
      <c r="E87" s="102">
        <f t="shared" si="2"/>
        <v>147.7</v>
      </c>
      <c r="F87" s="103">
        <v>50</v>
      </c>
      <c r="G87" s="87">
        <f t="shared" si="3"/>
        <v>23334</v>
      </c>
      <c r="H87" s="88">
        <f t="shared" si="4"/>
        <v>7385</v>
      </c>
      <c r="I87" s="104">
        <f t="shared" si="0"/>
        <v>50</v>
      </c>
      <c r="J87" s="87">
        <f t="shared" si="5"/>
        <v>7776</v>
      </c>
      <c r="K87" s="104">
        <f t="shared" si="1"/>
        <v>50</v>
      </c>
      <c r="L87" s="87">
        <f t="shared" si="6"/>
        <v>8173</v>
      </c>
    </row>
    <row r="88" spans="1:12" ht="12.75">
      <c r="A88" s="100"/>
      <c r="B88" s="105" t="s">
        <v>246</v>
      </c>
      <c r="C88" s="101" t="s">
        <v>230</v>
      </c>
      <c r="D88" s="102">
        <f>'[1] 2210,2240 за підроздіами'!E97</f>
        <v>120</v>
      </c>
      <c r="E88" s="102">
        <f t="shared" si="2"/>
        <v>126.6</v>
      </c>
      <c r="F88" s="103">
        <v>10</v>
      </c>
      <c r="G88" s="87">
        <f t="shared" si="3"/>
        <v>4000</v>
      </c>
      <c r="H88" s="88">
        <f t="shared" si="4"/>
        <v>1266</v>
      </c>
      <c r="I88" s="104">
        <f t="shared" si="0"/>
        <v>10</v>
      </c>
      <c r="J88" s="87">
        <f t="shared" si="5"/>
        <v>1333</v>
      </c>
      <c r="K88" s="104">
        <f t="shared" si="1"/>
        <v>10</v>
      </c>
      <c r="L88" s="87">
        <f t="shared" si="6"/>
        <v>1401</v>
      </c>
    </row>
    <row r="89" spans="1:12" ht="12.75">
      <c r="A89" s="100"/>
      <c r="B89" s="105" t="s">
        <v>247</v>
      </c>
      <c r="C89" s="101" t="s">
        <v>230</v>
      </c>
      <c r="D89" s="102">
        <f>'[1] 2210,2240 за підроздіами'!E98</f>
        <v>60</v>
      </c>
      <c r="E89" s="102">
        <f t="shared" si="2"/>
        <v>63.3</v>
      </c>
      <c r="F89" s="103">
        <f>'[1] 2210,2240 за підроздіами'!F98</f>
        <v>5</v>
      </c>
      <c r="G89" s="87">
        <f t="shared" si="3"/>
        <v>1002</v>
      </c>
      <c r="H89" s="88">
        <f t="shared" si="4"/>
        <v>317</v>
      </c>
      <c r="I89" s="104">
        <f t="shared" si="0"/>
        <v>5</v>
      </c>
      <c r="J89" s="87">
        <f t="shared" si="5"/>
        <v>334</v>
      </c>
      <c r="K89" s="104">
        <f t="shared" si="1"/>
        <v>5</v>
      </c>
      <c r="L89" s="87">
        <f t="shared" si="6"/>
        <v>351</v>
      </c>
    </row>
    <row r="90" spans="1:12" ht="12.75">
      <c r="A90" s="100"/>
      <c r="B90" s="105" t="s">
        <v>248</v>
      </c>
      <c r="C90" s="101" t="s">
        <v>230</v>
      </c>
      <c r="D90" s="102">
        <f>'[1] 2210,2240 за підроздіами'!E99</f>
        <v>0.57</v>
      </c>
      <c r="E90" s="102">
        <f t="shared" si="2"/>
        <v>0.6</v>
      </c>
      <c r="F90" s="103">
        <f>'[1] 2210,2240 за підроздіами'!F99</f>
        <v>200</v>
      </c>
      <c r="G90" s="87">
        <f t="shared" si="3"/>
        <v>378</v>
      </c>
      <c r="H90" s="88">
        <f t="shared" si="4"/>
        <v>120</v>
      </c>
      <c r="I90" s="104">
        <f t="shared" si="0"/>
        <v>200</v>
      </c>
      <c r="J90" s="87">
        <f t="shared" si="5"/>
        <v>126</v>
      </c>
      <c r="K90" s="104">
        <f t="shared" si="1"/>
        <v>200</v>
      </c>
      <c r="L90" s="87">
        <f t="shared" si="6"/>
        <v>132</v>
      </c>
    </row>
    <row r="91" spans="1:12" ht="12.75">
      <c r="A91" s="100"/>
      <c r="B91" s="105" t="s">
        <v>249</v>
      </c>
      <c r="C91" s="101" t="s">
        <v>230</v>
      </c>
      <c r="D91" s="102">
        <f>'[1] 2210,2240 за підроздіами'!E100</f>
        <v>0.48</v>
      </c>
      <c r="E91" s="102">
        <f t="shared" si="2"/>
        <v>0.51</v>
      </c>
      <c r="F91" s="103">
        <v>150</v>
      </c>
      <c r="G91" s="87">
        <f t="shared" si="3"/>
        <v>243</v>
      </c>
      <c r="H91" s="88">
        <f t="shared" si="4"/>
        <v>77</v>
      </c>
      <c r="I91" s="104">
        <f t="shared" si="0"/>
        <v>150</v>
      </c>
      <c r="J91" s="87">
        <f t="shared" si="5"/>
        <v>81</v>
      </c>
      <c r="K91" s="104">
        <f t="shared" si="1"/>
        <v>150</v>
      </c>
      <c r="L91" s="87">
        <f t="shared" si="6"/>
        <v>85</v>
      </c>
    </row>
    <row r="92" spans="1:12" ht="12.75">
      <c r="A92" s="100"/>
      <c r="B92" s="101" t="s">
        <v>250</v>
      </c>
      <c r="C92" s="101" t="s">
        <v>230</v>
      </c>
      <c r="D92" s="102">
        <f>'[1] 2210,2240 за підроздіами'!E104</f>
        <v>0.712</v>
      </c>
      <c r="E92" s="102">
        <f t="shared" si="2"/>
        <v>0.75</v>
      </c>
      <c r="F92" s="103">
        <v>9000</v>
      </c>
      <c r="G92" s="87">
        <f t="shared" si="3"/>
        <v>21329</v>
      </c>
      <c r="H92" s="88">
        <f t="shared" si="4"/>
        <v>6750</v>
      </c>
      <c r="I92" s="104">
        <f t="shared" si="0"/>
        <v>9000</v>
      </c>
      <c r="J92" s="87">
        <f t="shared" si="5"/>
        <v>7108</v>
      </c>
      <c r="K92" s="104">
        <f t="shared" si="1"/>
        <v>9000</v>
      </c>
      <c r="L92" s="87">
        <f t="shared" si="6"/>
        <v>7471</v>
      </c>
    </row>
    <row r="93" spans="1:12" ht="12.75">
      <c r="A93" s="100"/>
      <c r="B93" s="101" t="s">
        <v>251</v>
      </c>
      <c r="C93" s="101" t="s">
        <v>230</v>
      </c>
      <c r="D93" s="102">
        <v>0.48</v>
      </c>
      <c r="E93" s="102">
        <f t="shared" si="2"/>
        <v>0.51</v>
      </c>
      <c r="F93" s="103">
        <v>20000</v>
      </c>
      <c r="G93" s="87">
        <f t="shared" si="3"/>
        <v>32230</v>
      </c>
      <c r="H93" s="88">
        <f t="shared" si="4"/>
        <v>10200</v>
      </c>
      <c r="I93" s="104">
        <f t="shared" si="0"/>
        <v>20000</v>
      </c>
      <c r="J93" s="87">
        <f t="shared" si="5"/>
        <v>10741</v>
      </c>
      <c r="K93" s="104">
        <f t="shared" si="1"/>
        <v>20000</v>
      </c>
      <c r="L93" s="87">
        <f t="shared" si="6"/>
        <v>11289</v>
      </c>
    </row>
    <row r="94" spans="1:12" ht="12.75">
      <c r="A94" s="100"/>
      <c r="B94" s="105" t="s">
        <v>252</v>
      </c>
      <c r="C94" s="101" t="s">
        <v>230</v>
      </c>
      <c r="D94" s="102">
        <f>'[1] 2210,2240 за підроздіами'!E107</f>
        <v>5</v>
      </c>
      <c r="E94" s="102">
        <f t="shared" si="2"/>
        <v>5.28</v>
      </c>
      <c r="F94" s="103">
        <f>'[1] 2210,2240 за підроздіами'!F107</f>
        <v>500</v>
      </c>
      <c r="G94" s="87">
        <f t="shared" si="3"/>
        <v>8342</v>
      </c>
      <c r="H94" s="88">
        <f t="shared" si="4"/>
        <v>2640</v>
      </c>
      <c r="I94" s="104">
        <f t="shared" si="0"/>
        <v>500</v>
      </c>
      <c r="J94" s="87">
        <f t="shared" si="5"/>
        <v>2780</v>
      </c>
      <c r="K94" s="104">
        <f t="shared" si="1"/>
        <v>500</v>
      </c>
      <c r="L94" s="87">
        <f t="shared" si="6"/>
        <v>2922</v>
      </c>
    </row>
    <row r="95" spans="1:12" ht="12.75">
      <c r="A95" s="100"/>
      <c r="B95" s="105" t="s">
        <v>253</v>
      </c>
      <c r="C95" s="101" t="s">
        <v>230</v>
      </c>
      <c r="D95" s="102">
        <f>'[1] 2210,2240 за підроздіами'!E108</f>
        <v>0.78</v>
      </c>
      <c r="E95" s="102">
        <f t="shared" si="2"/>
        <v>0.82</v>
      </c>
      <c r="F95" s="103">
        <v>1000</v>
      </c>
      <c r="G95" s="87">
        <f t="shared" si="3"/>
        <v>2590</v>
      </c>
      <c r="H95" s="88">
        <f t="shared" si="4"/>
        <v>820</v>
      </c>
      <c r="I95" s="104">
        <f t="shared" si="0"/>
        <v>1000</v>
      </c>
      <c r="J95" s="87">
        <f t="shared" si="5"/>
        <v>863</v>
      </c>
      <c r="K95" s="104">
        <f t="shared" si="1"/>
        <v>1000</v>
      </c>
      <c r="L95" s="87">
        <f t="shared" si="6"/>
        <v>907</v>
      </c>
    </row>
    <row r="96" spans="1:12" ht="12.75">
      <c r="A96" s="100"/>
      <c r="B96" s="105" t="s">
        <v>254</v>
      </c>
      <c r="C96" s="101" t="s">
        <v>230</v>
      </c>
      <c r="D96" s="102">
        <f>'[1] 2210,2240 за підроздіами'!E111</f>
        <v>0.68</v>
      </c>
      <c r="E96" s="102">
        <f t="shared" si="2"/>
        <v>0.72</v>
      </c>
      <c r="F96" s="103">
        <f>'[1] 2210,2240 за підроздіами'!F111</f>
        <v>100</v>
      </c>
      <c r="G96" s="87">
        <f t="shared" si="3"/>
        <v>228</v>
      </c>
      <c r="H96" s="88">
        <f t="shared" si="4"/>
        <v>72</v>
      </c>
      <c r="I96" s="104">
        <f t="shared" si="0"/>
        <v>100</v>
      </c>
      <c r="J96" s="87">
        <f t="shared" si="5"/>
        <v>76</v>
      </c>
      <c r="K96" s="104">
        <f t="shared" si="1"/>
        <v>100</v>
      </c>
      <c r="L96" s="87">
        <f t="shared" si="6"/>
        <v>80</v>
      </c>
    </row>
    <row r="97" spans="1:12" ht="12.75">
      <c r="A97" s="100"/>
      <c r="B97" s="101" t="s">
        <v>255</v>
      </c>
      <c r="C97" s="101" t="s">
        <v>230</v>
      </c>
      <c r="D97" s="102">
        <f>'[1] 2210,2240 за підроздіами'!E112</f>
        <v>0.63</v>
      </c>
      <c r="E97" s="102">
        <f t="shared" si="2"/>
        <v>0.66</v>
      </c>
      <c r="F97" s="103">
        <v>9000</v>
      </c>
      <c r="G97" s="87">
        <f t="shared" si="3"/>
        <v>18769</v>
      </c>
      <c r="H97" s="88">
        <f t="shared" si="4"/>
        <v>5940</v>
      </c>
      <c r="I97" s="104">
        <f t="shared" si="0"/>
        <v>9000</v>
      </c>
      <c r="J97" s="87">
        <f t="shared" si="5"/>
        <v>6255</v>
      </c>
      <c r="K97" s="104">
        <f t="shared" si="1"/>
        <v>9000</v>
      </c>
      <c r="L97" s="87">
        <f t="shared" si="6"/>
        <v>6574</v>
      </c>
    </row>
    <row r="98" spans="1:12" ht="12.75">
      <c r="A98" s="100"/>
      <c r="B98" s="101" t="s">
        <v>256</v>
      </c>
      <c r="C98" s="101" t="s">
        <v>230</v>
      </c>
      <c r="D98" s="102">
        <f>'[1] 2210,2240 за підроздіами'!E114</f>
        <v>0.294</v>
      </c>
      <c r="E98" s="102">
        <f t="shared" si="2"/>
        <v>0.31</v>
      </c>
      <c r="F98" s="103">
        <v>9000</v>
      </c>
      <c r="G98" s="87">
        <f t="shared" si="3"/>
        <v>8816</v>
      </c>
      <c r="H98" s="88">
        <f t="shared" si="4"/>
        <v>2790</v>
      </c>
      <c r="I98" s="104">
        <f t="shared" si="0"/>
        <v>9000</v>
      </c>
      <c r="J98" s="87">
        <f t="shared" si="5"/>
        <v>2938</v>
      </c>
      <c r="K98" s="104">
        <f t="shared" si="1"/>
        <v>9000</v>
      </c>
      <c r="L98" s="87">
        <f t="shared" si="6"/>
        <v>3088</v>
      </c>
    </row>
    <row r="99" spans="1:12" ht="12.75">
      <c r="A99" s="94"/>
      <c r="B99" s="95" t="s">
        <v>257</v>
      </c>
      <c r="C99" s="96"/>
      <c r="D99" s="264">
        <f>12350*2</f>
        <v>24700</v>
      </c>
      <c r="E99" s="97">
        <f>ROUND((D99*105.5%),2)</f>
        <v>26058.5</v>
      </c>
      <c r="F99" s="117">
        <v>1</v>
      </c>
      <c r="G99" s="120">
        <f t="shared" si="3"/>
        <v>82338</v>
      </c>
      <c r="H99" s="114">
        <f t="shared" si="4"/>
        <v>26059</v>
      </c>
      <c r="I99" s="112">
        <f t="shared" si="0"/>
        <v>1</v>
      </c>
      <c r="J99" s="120">
        <f>ROUND((H99*105.3%),)</f>
        <v>27440</v>
      </c>
      <c r="K99" s="112">
        <f t="shared" si="1"/>
        <v>1</v>
      </c>
      <c r="L99" s="120">
        <f>ROUND((J99*105.1%),)</f>
        <v>28839</v>
      </c>
    </row>
    <row r="100" spans="1:12" ht="12.75">
      <c r="A100" s="94"/>
      <c r="B100" s="112" t="s">
        <v>258</v>
      </c>
      <c r="C100" s="112"/>
      <c r="D100" s="113"/>
      <c r="E100" s="113"/>
      <c r="F100" s="98"/>
      <c r="G100" s="114">
        <f aca="true" t="shared" si="7" ref="G100:L100">SUM(G101:G176)</f>
        <v>2808567</v>
      </c>
      <c r="H100" s="114">
        <f t="shared" si="7"/>
        <v>389967</v>
      </c>
      <c r="I100" s="114"/>
      <c r="J100" s="114">
        <f t="shared" si="7"/>
        <v>791605</v>
      </c>
      <c r="K100" s="114"/>
      <c r="L100" s="114">
        <f t="shared" si="7"/>
        <v>1626995</v>
      </c>
    </row>
    <row r="101" spans="1:12" ht="12.75">
      <c r="A101" s="100"/>
      <c r="B101" s="101" t="s">
        <v>259</v>
      </c>
      <c r="C101" s="101" t="s">
        <v>230</v>
      </c>
      <c r="D101" s="102">
        <f>'[1] 2210,2240 за підроздіами'!E118</f>
        <v>13.5</v>
      </c>
      <c r="E101" s="102">
        <f aca="true" t="shared" si="8" ref="E101:E149">ROUND((D101*105.5%),2)</f>
        <v>14.24</v>
      </c>
      <c r="F101" s="103">
        <v>20</v>
      </c>
      <c r="G101" s="87">
        <f aca="true" t="shared" si="9" ref="G101:G150">SUM(L101+J101+H101)</f>
        <v>900</v>
      </c>
      <c r="H101" s="88">
        <f aca="true" t="shared" si="10" ref="H101:H149">ROUND((E101*F101),)</f>
        <v>285</v>
      </c>
      <c r="I101" s="104">
        <f aca="true" t="shared" si="11" ref="I101:I150">F101</f>
        <v>20</v>
      </c>
      <c r="J101" s="87">
        <f aca="true" t="shared" si="12" ref="J101:J149">ROUND((H101*105.3%),)</f>
        <v>300</v>
      </c>
      <c r="K101" s="104">
        <f aca="true" t="shared" si="13" ref="K101:K150">F101</f>
        <v>20</v>
      </c>
      <c r="L101" s="87">
        <f aca="true" t="shared" si="14" ref="L101:L149">ROUND((J101*105.1%),)</f>
        <v>315</v>
      </c>
    </row>
    <row r="102" spans="1:12" ht="12.75">
      <c r="A102" s="100"/>
      <c r="B102" s="101" t="s">
        <v>260</v>
      </c>
      <c r="C102" s="101" t="s">
        <v>261</v>
      </c>
      <c r="D102" s="102">
        <f>'[1] 2210,2240 за підроздіами'!E119</f>
        <v>45</v>
      </c>
      <c r="E102" s="102">
        <f t="shared" si="8"/>
        <v>47.48</v>
      </c>
      <c r="F102" s="103">
        <v>14</v>
      </c>
      <c r="G102" s="87">
        <f t="shared" si="9"/>
        <v>2101</v>
      </c>
      <c r="H102" s="88">
        <f t="shared" si="10"/>
        <v>665</v>
      </c>
      <c r="I102" s="104">
        <f t="shared" si="11"/>
        <v>14</v>
      </c>
      <c r="J102" s="87">
        <f t="shared" si="12"/>
        <v>700</v>
      </c>
      <c r="K102" s="104">
        <f t="shared" si="13"/>
        <v>14</v>
      </c>
      <c r="L102" s="87">
        <f t="shared" si="14"/>
        <v>736</v>
      </c>
    </row>
    <row r="103" spans="1:12" ht="12.75">
      <c r="A103" s="100"/>
      <c r="B103" s="101" t="s">
        <v>262</v>
      </c>
      <c r="C103" s="101" t="s">
        <v>261</v>
      </c>
      <c r="D103" s="102">
        <f>'[1] 2210,2240 за підроздіами'!E120</f>
        <v>30</v>
      </c>
      <c r="E103" s="102">
        <f t="shared" si="8"/>
        <v>31.65</v>
      </c>
      <c r="F103" s="103">
        <v>27</v>
      </c>
      <c r="G103" s="87">
        <f t="shared" si="9"/>
        <v>2701</v>
      </c>
      <c r="H103" s="88">
        <f t="shared" si="10"/>
        <v>855</v>
      </c>
      <c r="I103" s="104">
        <f t="shared" si="11"/>
        <v>27</v>
      </c>
      <c r="J103" s="87">
        <f t="shared" si="12"/>
        <v>900</v>
      </c>
      <c r="K103" s="104">
        <f t="shared" si="13"/>
        <v>27</v>
      </c>
      <c r="L103" s="87">
        <f t="shared" si="14"/>
        <v>946</v>
      </c>
    </row>
    <row r="104" spans="1:12" ht="12.75">
      <c r="A104" s="100"/>
      <c r="B104" s="101" t="s">
        <v>263</v>
      </c>
      <c r="C104" s="101" t="s">
        <v>230</v>
      </c>
      <c r="D104" s="102">
        <f>'[1] 2210,2240 за підроздіами'!E121</f>
        <v>30</v>
      </c>
      <c r="E104" s="102">
        <f t="shared" si="8"/>
        <v>31.65</v>
      </c>
      <c r="F104" s="103">
        <v>5</v>
      </c>
      <c r="G104" s="87">
        <f t="shared" si="9"/>
        <v>498</v>
      </c>
      <c r="H104" s="88">
        <f t="shared" si="10"/>
        <v>158</v>
      </c>
      <c r="I104" s="104">
        <f t="shared" si="11"/>
        <v>5</v>
      </c>
      <c r="J104" s="87">
        <f t="shared" si="12"/>
        <v>166</v>
      </c>
      <c r="K104" s="104">
        <f t="shared" si="13"/>
        <v>5</v>
      </c>
      <c r="L104" s="87">
        <f t="shared" si="14"/>
        <v>174</v>
      </c>
    </row>
    <row r="105" spans="1:12" ht="12.75">
      <c r="A105" s="100"/>
      <c r="B105" s="101" t="s">
        <v>264</v>
      </c>
      <c r="C105" s="101" t="s">
        <v>230</v>
      </c>
      <c r="D105" s="102">
        <f>'[1] 2210,2240 за підроздіами'!E124</f>
        <v>14</v>
      </c>
      <c r="E105" s="102">
        <f t="shared" si="8"/>
        <v>14.77</v>
      </c>
      <c r="F105" s="103">
        <f>'[1] 2210,2240 за підроздіами'!F124</f>
        <v>2</v>
      </c>
      <c r="G105" s="87">
        <f t="shared" si="9"/>
        <v>96</v>
      </c>
      <c r="H105" s="88">
        <f t="shared" si="10"/>
        <v>30</v>
      </c>
      <c r="I105" s="104">
        <f t="shared" si="11"/>
        <v>2</v>
      </c>
      <c r="J105" s="87">
        <f t="shared" si="12"/>
        <v>32</v>
      </c>
      <c r="K105" s="104">
        <f t="shared" si="13"/>
        <v>2</v>
      </c>
      <c r="L105" s="87">
        <f t="shared" si="14"/>
        <v>34</v>
      </c>
    </row>
    <row r="106" spans="1:12" ht="12.75">
      <c r="A106" s="100"/>
      <c r="B106" s="101" t="s">
        <v>265</v>
      </c>
      <c r="C106" s="101" t="s">
        <v>230</v>
      </c>
      <c r="D106" s="102">
        <f>'[1] 2210,2240 за підроздіами'!E125</f>
        <v>70</v>
      </c>
      <c r="E106" s="102">
        <f t="shared" si="8"/>
        <v>73.85</v>
      </c>
      <c r="F106" s="103">
        <v>20</v>
      </c>
      <c r="G106" s="87">
        <f t="shared" si="9"/>
        <v>4666</v>
      </c>
      <c r="H106" s="88">
        <f t="shared" si="10"/>
        <v>1477</v>
      </c>
      <c r="I106" s="104">
        <f t="shared" si="11"/>
        <v>20</v>
      </c>
      <c r="J106" s="87">
        <f t="shared" si="12"/>
        <v>1555</v>
      </c>
      <c r="K106" s="104">
        <f t="shared" si="13"/>
        <v>20</v>
      </c>
      <c r="L106" s="87">
        <f t="shared" si="14"/>
        <v>1634</v>
      </c>
    </row>
    <row r="107" spans="1:12" ht="12.75">
      <c r="A107" s="100"/>
      <c r="B107" s="101" t="s">
        <v>266</v>
      </c>
      <c r="C107" s="101" t="s">
        <v>230</v>
      </c>
      <c r="D107" s="102">
        <f>'[1] 2210,2240 за підроздіами'!E126</f>
        <v>3.5</v>
      </c>
      <c r="E107" s="102">
        <f t="shared" si="8"/>
        <v>3.69</v>
      </c>
      <c r="F107" s="103">
        <f>'[1] 2210,2240 за підроздіами'!F126</f>
        <v>17</v>
      </c>
      <c r="G107" s="87">
        <f t="shared" si="9"/>
        <v>198</v>
      </c>
      <c r="H107" s="88">
        <f t="shared" si="10"/>
        <v>63</v>
      </c>
      <c r="I107" s="104">
        <f t="shared" si="11"/>
        <v>17</v>
      </c>
      <c r="J107" s="87">
        <f t="shared" si="12"/>
        <v>66</v>
      </c>
      <c r="K107" s="104">
        <f t="shared" si="13"/>
        <v>17</v>
      </c>
      <c r="L107" s="87">
        <f t="shared" si="14"/>
        <v>69</v>
      </c>
    </row>
    <row r="108" spans="1:12" ht="12.75">
      <c r="A108" s="100"/>
      <c r="B108" s="101" t="s">
        <v>267</v>
      </c>
      <c r="C108" s="101" t="s">
        <v>230</v>
      </c>
      <c r="D108" s="102">
        <f>'[1] 2210,2240 за підроздіами'!E127</f>
        <v>5.5</v>
      </c>
      <c r="E108" s="102">
        <f t="shared" si="8"/>
        <v>5.8</v>
      </c>
      <c r="F108" s="103">
        <v>42</v>
      </c>
      <c r="G108" s="87">
        <f t="shared" si="9"/>
        <v>771</v>
      </c>
      <c r="H108" s="88">
        <f t="shared" si="10"/>
        <v>244</v>
      </c>
      <c r="I108" s="104">
        <f t="shared" si="11"/>
        <v>42</v>
      </c>
      <c r="J108" s="87">
        <f t="shared" si="12"/>
        <v>257</v>
      </c>
      <c r="K108" s="104">
        <f t="shared" si="13"/>
        <v>42</v>
      </c>
      <c r="L108" s="87">
        <f t="shared" si="14"/>
        <v>270</v>
      </c>
    </row>
    <row r="109" spans="1:12" ht="12.75">
      <c r="A109" s="100"/>
      <c r="B109" s="101" t="s">
        <v>268</v>
      </c>
      <c r="C109" s="101" t="s">
        <v>230</v>
      </c>
      <c r="D109" s="102">
        <f>'[1] 2210,2240 за підроздіами'!E128</f>
        <v>7</v>
      </c>
      <c r="E109" s="102">
        <f t="shared" si="8"/>
        <v>7.39</v>
      </c>
      <c r="F109" s="103">
        <f>'[1] 2210,2240 за підроздіами'!F128</f>
        <v>81</v>
      </c>
      <c r="G109" s="87">
        <f t="shared" si="9"/>
        <v>1893</v>
      </c>
      <c r="H109" s="88">
        <f t="shared" si="10"/>
        <v>599</v>
      </c>
      <c r="I109" s="104">
        <f t="shared" si="11"/>
        <v>81</v>
      </c>
      <c r="J109" s="87">
        <f t="shared" si="12"/>
        <v>631</v>
      </c>
      <c r="K109" s="104">
        <f t="shared" si="13"/>
        <v>81</v>
      </c>
      <c r="L109" s="87">
        <f t="shared" si="14"/>
        <v>663</v>
      </c>
    </row>
    <row r="110" spans="1:12" ht="12.75">
      <c r="A110" s="100"/>
      <c r="B110" s="101" t="s">
        <v>269</v>
      </c>
      <c r="C110" s="101" t="s">
        <v>230</v>
      </c>
      <c r="D110" s="102">
        <f>'[1] 2210,2240 за підроздіами'!E129</f>
        <v>18</v>
      </c>
      <c r="E110" s="102">
        <f t="shared" si="8"/>
        <v>18.99</v>
      </c>
      <c r="F110" s="103">
        <f>'[1] 2210,2240 за підроздіами'!F129</f>
        <v>27</v>
      </c>
      <c r="G110" s="87">
        <f t="shared" si="9"/>
        <v>1621</v>
      </c>
      <c r="H110" s="88">
        <f t="shared" si="10"/>
        <v>513</v>
      </c>
      <c r="I110" s="104">
        <f t="shared" si="11"/>
        <v>27</v>
      </c>
      <c r="J110" s="87">
        <f t="shared" si="12"/>
        <v>540</v>
      </c>
      <c r="K110" s="104">
        <f t="shared" si="13"/>
        <v>27</v>
      </c>
      <c r="L110" s="87">
        <f t="shared" si="14"/>
        <v>568</v>
      </c>
    </row>
    <row r="111" spans="1:12" ht="12.75">
      <c r="A111" s="100"/>
      <c r="B111" s="101" t="s">
        <v>270</v>
      </c>
      <c r="C111" s="101" t="s">
        <v>230</v>
      </c>
      <c r="D111" s="102">
        <f>'[1] 2210,2240 за підроздіами'!E130</f>
        <v>220</v>
      </c>
      <c r="E111" s="102">
        <f t="shared" si="8"/>
        <v>232.1</v>
      </c>
      <c r="F111" s="103">
        <f>'[1] 2210,2240 за підроздіами'!F130</f>
        <v>23</v>
      </c>
      <c r="G111" s="87">
        <f t="shared" si="9"/>
        <v>16867</v>
      </c>
      <c r="H111" s="88">
        <f t="shared" si="10"/>
        <v>5338</v>
      </c>
      <c r="I111" s="104">
        <f t="shared" si="11"/>
        <v>23</v>
      </c>
      <c r="J111" s="87">
        <f t="shared" si="12"/>
        <v>5621</v>
      </c>
      <c r="K111" s="104">
        <f t="shared" si="13"/>
        <v>23</v>
      </c>
      <c r="L111" s="87">
        <f t="shared" si="14"/>
        <v>5908</v>
      </c>
    </row>
    <row r="112" spans="1:12" ht="12.75">
      <c r="A112" s="100"/>
      <c r="B112" s="101" t="s">
        <v>271</v>
      </c>
      <c r="C112" s="101" t="s">
        <v>272</v>
      </c>
      <c r="D112" s="102">
        <f>'[1] 2210,2240 за підроздіами'!E131</f>
        <v>44</v>
      </c>
      <c r="E112" s="102">
        <f t="shared" si="8"/>
        <v>46.42</v>
      </c>
      <c r="F112" s="103">
        <f>'[1] 2210,2240 за підроздіами'!F131</f>
        <v>2</v>
      </c>
      <c r="G112" s="87">
        <f t="shared" si="9"/>
        <v>294</v>
      </c>
      <c r="H112" s="88">
        <f t="shared" si="10"/>
        <v>93</v>
      </c>
      <c r="I112" s="104">
        <f t="shared" si="11"/>
        <v>2</v>
      </c>
      <c r="J112" s="87">
        <f t="shared" si="12"/>
        <v>98</v>
      </c>
      <c r="K112" s="104">
        <f t="shared" si="13"/>
        <v>2</v>
      </c>
      <c r="L112" s="87">
        <f t="shared" si="14"/>
        <v>103</v>
      </c>
    </row>
    <row r="113" spans="1:12" ht="12.75">
      <c r="A113" s="100"/>
      <c r="B113" s="101" t="s">
        <v>273</v>
      </c>
      <c r="C113" s="101" t="s">
        <v>230</v>
      </c>
      <c r="D113" s="102">
        <f>'[1] 2210,2240 за підроздіами'!E132</f>
        <v>100</v>
      </c>
      <c r="E113" s="102">
        <f t="shared" si="8"/>
        <v>105.5</v>
      </c>
      <c r="F113" s="103">
        <v>2</v>
      </c>
      <c r="G113" s="87">
        <f t="shared" si="9"/>
        <v>666</v>
      </c>
      <c r="H113" s="88">
        <f t="shared" si="10"/>
        <v>211</v>
      </c>
      <c r="I113" s="104">
        <f t="shared" si="11"/>
        <v>2</v>
      </c>
      <c r="J113" s="87">
        <f t="shared" si="12"/>
        <v>222</v>
      </c>
      <c r="K113" s="104">
        <f t="shared" si="13"/>
        <v>2</v>
      </c>
      <c r="L113" s="87">
        <f t="shared" si="14"/>
        <v>233</v>
      </c>
    </row>
    <row r="114" spans="1:12" ht="12.75">
      <c r="A114" s="100"/>
      <c r="B114" s="115" t="s">
        <v>274</v>
      </c>
      <c r="C114" s="101" t="s">
        <v>230</v>
      </c>
      <c r="D114" s="102">
        <f>'[1] 2210,2240 за підроздіами'!E133</f>
        <v>12</v>
      </c>
      <c r="E114" s="102">
        <f t="shared" si="8"/>
        <v>12.66</v>
      </c>
      <c r="F114" s="103">
        <v>200</v>
      </c>
      <c r="G114" s="87">
        <f t="shared" si="9"/>
        <v>8000</v>
      </c>
      <c r="H114" s="88">
        <f t="shared" si="10"/>
        <v>2532</v>
      </c>
      <c r="I114" s="104">
        <f t="shared" si="11"/>
        <v>200</v>
      </c>
      <c r="J114" s="87">
        <f t="shared" si="12"/>
        <v>2666</v>
      </c>
      <c r="K114" s="104">
        <f t="shared" si="13"/>
        <v>200</v>
      </c>
      <c r="L114" s="87">
        <f t="shared" si="14"/>
        <v>2802</v>
      </c>
    </row>
    <row r="115" spans="1:12" ht="12.75">
      <c r="A115" s="100"/>
      <c r="B115" s="101" t="s">
        <v>275</v>
      </c>
      <c r="C115" s="101" t="s">
        <v>230</v>
      </c>
      <c r="D115" s="102">
        <f>'[1] 2210,2240 за підроздіами'!E134</f>
        <v>9</v>
      </c>
      <c r="E115" s="102">
        <f t="shared" si="8"/>
        <v>9.5</v>
      </c>
      <c r="F115" s="103">
        <v>200</v>
      </c>
      <c r="G115" s="87">
        <f t="shared" si="9"/>
        <v>6004</v>
      </c>
      <c r="H115" s="88">
        <f t="shared" si="10"/>
        <v>1900</v>
      </c>
      <c r="I115" s="104">
        <f t="shared" si="11"/>
        <v>200</v>
      </c>
      <c r="J115" s="87">
        <f t="shared" si="12"/>
        <v>2001</v>
      </c>
      <c r="K115" s="104">
        <f t="shared" si="13"/>
        <v>200</v>
      </c>
      <c r="L115" s="87">
        <f t="shared" si="14"/>
        <v>2103</v>
      </c>
    </row>
    <row r="116" spans="1:12" ht="12.75">
      <c r="A116" s="100"/>
      <c r="B116" s="101" t="s">
        <v>276</v>
      </c>
      <c r="C116" s="101" t="s">
        <v>230</v>
      </c>
      <c r="D116" s="102">
        <f>'[1] 2210,2240 за підроздіами'!E135</f>
        <v>75</v>
      </c>
      <c r="E116" s="102">
        <f t="shared" si="8"/>
        <v>79.13</v>
      </c>
      <c r="F116" s="103">
        <v>20</v>
      </c>
      <c r="G116" s="87">
        <f t="shared" si="9"/>
        <v>5002</v>
      </c>
      <c r="H116" s="88">
        <f t="shared" si="10"/>
        <v>1583</v>
      </c>
      <c r="I116" s="104">
        <f t="shared" si="11"/>
        <v>20</v>
      </c>
      <c r="J116" s="87">
        <f t="shared" si="12"/>
        <v>1667</v>
      </c>
      <c r="K116" s="104">
        <f t="shared" si="13"/>
        <v>20</v>
      </c>
      <c r="L116" s="87">
        <f t="shared" si="14"/>
        <v>1752</v>
      </c>
    </row>
    <row r="117" spans="1:12" ht="12.75">
      <c r="A117" s="100"/>
      <c r="B117" s="101" t="s">
        <v>277</v>
      </c>
      <c r="C117" s="101" t="s">
        <v>230</v>
      </c>
      <c r="D117" s="102">
        <f>'[1] 2210,2240 за підроздіами'!E136</f>
        <v>30</v>
      </c>
      <c r="E117" s="102">
        <f t="shared" si="8"/>
        <v>31.65</v>
      </c>
      <c r="F117" s="103">
        <v>40</v>
      </c>
      <c r="G117" s="87">
        <f t="shared" si="9"/>
        <v>4000</v>
      </c>
      <c r="H117" s="88">
        <f t="shared" si="10"/>
        <v>1266</v>
      </c>
      <c r="I117" s="104">
        <f t="shared" si="11"/>
        <v>40</v>
      </c>
      <c r="J117" s="87">
        <f t="shared" si="12"/>
        <v>1333</v>
      </c>
      <c r="K117" s="104">
        <f t="shared" si="13"/>
        <v>40</v>
      </c>
      <c r="L117" s="87">
        <f t="shared" si="14"/>
        <v>1401</v>
      </c>
    </row>
    <row r="118" spans="1:12" ht="12.75">
      <c r="A118" s="100"/>
      <c r="B118" s="101" t="s">
        <v>278</v>
      </c>
      <c r="C118" s="101" t="s">
        <v>279</v>
      </c>
      <c r="D118" s="102">
        <f>'[1] 2210,2240 за підроздіами'!E137</f>
        <v>5.5</v>
      </c>
      <c r="E118" s="102">
        <f t="shared" si="8"/>
        <v>5.8</v>
      </c>
      <c r="F118" s="103">
        <v>5</v>
      </c>
      <c r="G118" s="87">
        <f t="shared" si="9"/>
        <v>93</v>
      </c>
      <c r="H118" s="88">
        <f t="shared" si="10"/>
        <v>29</v>
      </c>
      <c r="I118" s="104">
        <f t="shared" si="11"/>
        <v>5</v>
      </c>
      <c r="J118" s="87">
        <f t="shared" si="12"/>
        <v>31</v>
      </c>
      <c r="K118" s="104">
        <f t="shared" si="13"/>
        <v>5</v>
      </c>
      <c r="L118" s="87">
        <f t="shared" si="14"/>
        <v>33</v>
      </c>
    </row>
    <row r="119" spans="1:12" ht="12.75">
      <c r="A119" s="100"/>
      <c r="B119" s="115" t="s">
        <v>280</v>
      </c>
      <c r="C119" s="101" t="s">
        <v>230</v>
      </c>
      <c r="D119" s="102">
        <f>'[1] 2210,2240 за підроздіами'!E140</f>
        <v>18</v>
      </c>
      <c r="E119" s="102">
        <f t="shared" si="8"/>
        <v>18.99</v>
      </c>
      <c r="F119" s="103">
        <v>60</v>
      </c>
      <c r="G119" s="87">
        <f t="shared" si="9"/>
        <v>3598</v>
      </c>
      <c r="H119" s="88">
        <f t="shared" si="10"/>
        <v>1139</v>
      </c>
      <c r="I119" s="104">
        <f t="shared" si="11"/>
        <v>60</v>
      </c>
      <c r="J119" s="87">
        <f t="shared" si="12"/>
        <v>1199</v>
      </c>
      <c r="K119" s="104">
        <f t="shared" si="13"/>
        <v>60</v>
      </c>
      <c r="L119" s="87">
        <f t="shared" si="14"/>
        <v>1260</v>
      </c>
    </row>
    <row r="120" spans="1:12" ht="12.75">
      <c r="A120" s="100"/>
      <c r="B120" s="115" t="s">
        <v>281</v>
      </c>
      <c r="C120" s="101" t="s">
        <v>230</v>
      </c>
      <c r="D120" s="102">
        <f>'[1] 2210,2240 за підроздіами'!E142</f>
        <v>14</v>
      </c>
      <c r="E120" s="102">
        <f t="shared" si="8"/>
        <v>14.77</v>
      </c>
      <c r="F120" s="103">
        <f>'[1] 2210,2240 за підроздіами'!F142</f>
        <v>73</v>
      </c>
      <c r="G120" s="87">
        <f t="shared" si="9"/>
        <v>3406</v>
      </c>
      <c r="H120" s="88">
        <f t="shared" si="10"/>
        <v>1078</v>
      </c>
      <c r="I120" s="104">
        <f t="shared" si="11"/>
        <v>73</v>
      </c>
      <c r="J120" s="87">
        <f t="shared" si="12"/>
        <v>1135</v>
      </c>
      <c r="K120" s="104">
        <f t="shared" si="13"/>
        <v>73</v>
      </c>
      <c r="L120" s="87">
        <f t="shared" si="14"/>
        <v>1193</v>
      </c>
    </row>
    <row r="121" spans="1:12" ht="12.75">
      <c r="A121" s="100"/>
      <c r="B121" s="101" t="s">
        <v>282</v>
      </c>
      <c r="C121" s="101" t="s">
        <v>230</v>
      </c>
      <c r="D121" s="102">
        <f>'[1] 2210,2240 за підроздіами'!E143</f>
        <v>3</v>
      </c>
      <c r="E121" s="102">
        <f t="shared" si="8"/>
        <v>3.17</v>
      </c>
      <c r="F121" s="103">
        <v>100</v>
      </c>
      <c r="G121" s="87">
        <f t="shared" si="9"/>
        <v>1002</v>
      </c>
      <c r="H121" s="88">
        <f t="shared" si="10"/>
        <v>317</v>
      </c>
      <c r="I121" s="104">
        <f t="shared" si="11"/>
        <v>100</v>
      </c>
      <c r="J121" s="87">
        <f t="shared" si="12"/>
        <v>334</v>
      </c>
      <c r="K121" s="104">
        <f t="shared" si="13"/>
        <v>100</v>
      </c>
      <c r="L121" s="87">
        <f t="shared" si="14"/>
        <v>351</v>
      </c>
    </row>
    <row r="122" spans="1:12" ht="12.75">
      <c r="A122" s="100"/>
      <c r="B122" s="101" t="s">
        <v>283</v>
      </c>
      <c r="C122" s="101" t="s">
        <v>230</v>
      </c>
      <c r="D122" s="102">
        <f>'[1] 2210,2240 за підроздіами'!E146</f>
        <v>10</v>
      </c>
      <c r="E122" s="102">
        <f t="shared" si="8"/>
        <v>10.55</v>
      </c>
      <c r="F122" s="103">
        <v>50</v>
      </c>
      <c r="G122" s="87">
        <f t="shared" si="9"/>
        <v>1668</v>
      </c>
      <c r="H122" s="88">
        <f t="shared" si="10"/>
        <v>528</v>
      </c>
      <c r="I122" s="104">
        <f t="shared" si="11"/>
        <v>50</v>
      </c>
      <c r="J122" s="87">
        <f t="shared" si="12"/>
        <v>556</v>
      </c>
      <c r="K122" s="104">
        <f t="shared" si="13"/>
        <v>50</v>
      </c>
      <c r="L122" s="87">
        <f t="shared" si="14"/>
        <v>584</v>
      </c>
    </row>
    <row r="123" spans="1:12" ht="12.75">
      <c r="A123" s="100"/>
      <c r="B123" s="101" t="s">
        <v>284</v>
      </c>
      <c r="C123" s="101" t="s">
        <v>230</v>
      </c>
      <c r="D123" s="102">
        <f>'[1] 2210,2240 за підроздіами'!E147</f>
        <v>10</v>
      </c>
      <c r="E123" s="102">
        <f t="shared" si="8"/>
        <v>10.55</v>
      </c>
      <c r="F123" s="103">
        <f>'[1] 2210,2240 за підроздіами'!F147</f>
        <v>1</v>
      </c>
      <c r="G123" s="87">
        <f t="shared" si="9"/>
        <v>36</v>
      </c>
      <c r="H123" s="88">
        <f t="shared" si="10"/>
        <v>11</v>
      </c>
      <c r="I123" s="104">
        <f t="shared" si="11"/>
        <v>1</v>
      </c>
      <c r="J123" s="87">
        <f t="shared" si="12"/>
        <v>12</v>
      </c>
      <c r="K123" s="104">
        <f t="shared" si="13"/>
        <v>1</v>
      </c>
      <c r="L123" s="87">
        <f t="shared" si="14"/>
        <v>13</v>
      </c>
    </row>
    <row r="124" spans="1:12" ht="12.75">
      <c r="A124" s="100"/>
      <c r="B124" s="101" t="s">
        <v>285</v>
      </c>
      <c r="C124" s="101" t="s">
        <v>230</v>
      </c>
      <c r="D124" s="102">
        <f>'[1] 2210,2240 за підроздіами'!E148</f>
        <v>10</v>
      </c>
      <c r="E124" s="102">
        <f t="shared" si="8"/>
        <v>10.55</v>
      </c>
      <c r="F124" s="103">
        <v>10</v>
      </c>
      <c r="G124" s="87">
        <f t="shared" si="9"/>
        <v>336</v>
      </c>
      <c r="H124" s="88">
        <f t="shared" si="10"/>
        <v>106</v>
      </c>
      <c r="I124" s="104">
        <f t="shared" si="11"/>
        <v>10</v>
      </c>
      <c r="J124" s="87">
        <f t="shared" si="12"/>
        <v>112</v>
      </c>
      <c r="K124" s="104">
        <f t="shared" si="13"/>
        <v>10</v>
      </c>
      <c r="L124" s="87">
        <f t="shared" si="14"/>
        <v>118</v>
      </c>
    </row>
    <row r="125" spans="1:12" ht="12.75">
      <c r="A125" s="100"/>
      <c r="B125" s="101" t="s">
        <v>286</v>
      </c>
      <c r="C125" s="101" t="s">
        <v>230</v>
      </c>
      <c r="D125" s="102">
        <f>'[1] 2210,2240 за підроздіами'!E149</f>
        <v>12</v>
      </c>
      <c r="E125" s="102">
        <f t="shared" si="8"/>
        <v>12.66</v>
      </c>
      <c r="F125" s="103">
        <v>40</v>
      </c>
      <c r="G125" s="87">
        <f t="shared" si="9"/>
        <v>1599</v>
      </c>
      <c r="H125" s="88">
        <f t="shared" si="10"/>
        <v>506</v>
      </c>
      <c r="I125" s="104">
        <f t="shared" si="11"/>
        <v>40</v>
      </c>
      <c r="J125" s="87">
        <f t="shared" si="12"/>
        <v>533</v>
      </c>
      <c r="K125" s="104">
        <f t="shared" si="13"/>
        <v>40</v>
      </c>
      <c r="L125" s="87">
        <f t="shared" si="14"/>
        <v>560</v>
      </c>
    </row>
    <row r="126" spans="1:12" ht="12.75">
      <c r="A126" s="100"/>
      <c r="B126" s="101" t="s">
        <v>287</v>
      </c>
      <c r="C126" s="101" t="s">
        <v>230</v>
      </c>
      <c r="D126" s="102">
        <v>7.58</v>
      </c>
      <c r="E126" s="102">
        <f t="shared" si="8"/>
        <v>8</v>
      </c>
      <c r="F126" s="103">
        <v>10000</v>
      </c>
      <c r="G126" s="87">
        <f t="shared" si="9"/>
        <v>425552</v>
      </c>
      <c r="H126" s="88">
        <f t="shared" si="10"/>
        <v>80000</v>
      </c>
      <c r="I126" s="104">
        <f>F126*2</f>
        <v>20000</v>
      </c>
      <c r="J126" s="87">
        <f>ROUND((H126*105.3%),)*2</f>
        <v>168480</v>
      </c>
      <c r="K126" s="104">
        <f>F126*2</f>
        <v>20000</v>
      </c>
      <c r="L126" s="87">
        <f t="shared" si="14"/>
        <v>177072</v>
      </c>
    </row>
    <row r="127" spans="1:12" ht="12.75">
      <c r="A127" s="100"/>
      <c r="B127" s="101" t="s">
        <v>288</v>
      </c>
      <c r="C127" s="101" t="s">
        <v>230</v>
      </c>
      <c r="D127" s="102">
        <f>'[1] 2210,2240 за підроздіами'!E151</f>
        <v>45</v>
      </c>
      <c r="E127" s="102">
        <f t="shared" si="8"/>
        <v>47.48</v>
      </c>
      <c r="F127" s="103">
        <v>10</v>
      </c>
      <c r="G127" s="87">
        <f t="shared" si="9"/>
        <v>1501</v>
      </c>
      <c r="H127" s="88">
        <f t="shared" si="10"/>
        <v>475</v>
      </c>
      <c r="I127" s="104">
        <f t="shared" si="11"/>
        <v>10</v>
      </c>
      <c r="J127" s="87">
        <f t="shared" si="12"/>
        <v>500</v>
      </c>
      <c r="K127" s="104">
        <f t="shared" si="13"/>
        <v>10</v>
      </c>
      <c r="L127" s="87">
        <f t="shared" si="14"/>
        <v>526</v>
      </c>
    </row>
    <row r="128" spans="1:12" ht="12.75">
      <c r="A128" s="100"/>
      <c r="B128" s="101" t="s">
        <v>289</v>
      </c>
      <c r="C128" s="101" t="s">
        <v>230</v>
      </c>
      <c r="D128" s="102">
        <f>'[1] 2210,2240 за підроздіами'!E153</f>
        <v>35</v>
      </c>
      <c r="E128" s="102">
        <f t="shared" si="8"/>
        <v>36.93</v>
      </c>
      <c r="F128" s="103">
        <v>10</v>
      </c>
      <c r="G128" s="87">
        <f t="shared" si="9"/>
        <v>1167</v>
      </c>
      <c r="H128" s="88">
        <f t="shared" si="10"/>
        <v>369</v>
      </c>
      <c r="I128" s="104">
        <f t="shared" si="11"/>
        <v>10</v>
      </c>
      <c r="J128" s="87">
        <f t="shared" si="12"/>
        <v>389</v>
      </c>
      <c r="K128" s="104">
        <f t="shared" si="13"/>
        <v>10</v>
      </c>
      <c r="L128" s="87">
        <f t="shared" si="14"/>
        <v>409</v>
      </c>
    </row>
    <row r="129" spans="1:12" ht="12.75">
      <c r="A129" s="100"/>
      <c r="B129" s="101" t="s">
        <v>290</v>
      </c>
      <c r="C129" s="101" t="s">
        <v>230</v>
      </c>
      <c r="D129" s="102">
        <f>'[1] 2210,2240 за підроздіами'!E154</f>
        <v>4</v>
      </c>
      <c r="E129" s="102">
        <f t="shared" si="8"/>
        <v>4.22</v>
      </c>
      <c r="F129" s="103">
        <v>100</v>
      </c>
      <c r="G129" s="87">
        <f t="shared" si="9"/>
        <v>1333</v>
      </c>
      <c r="H129" s="88">
        <f t="shared" si="10"/>
        <v>422</v>
      </c>
      <c r="I129" s="104">
        <f t="shared" si="11"/>
        <v>100</v>
      </c>
      <c r="J129" s="87">
        <f t="shared" si="12"/>
        <v>444</v>
      </c>
      <c r="K129" s="104">
        <f t="shared" si="13"/>
        <v>100</v>
      </c>
      <c r="L129" s="87">
        <f t="shared" si="14"/>
        <v>467</v>
      </c>
    </row>
    <row r="130" spans="1:12" ht="12.75">
      <c r="A130" s="100"/>
      <c r="B130" s="101" t="s">
        <v>291</v>
      </c>
      <c r="C130" s="101" t="s">
        <v>230</v>
      </c>
      <c r="D130" s="102">
        <f>'[1] 2210,2240 за підроздіами'!E155</f>
        <v>12</v>
      </c>
      <c r="E130" s="102">
        <f t="shared" si="8"/>
        <v>12.66</v>
      </c>
      <c r="F130" s="103">
        <v>30</v>
      </c>
      <c r="G130" s="87">
        <f t="shared" si="9"/>
        <v>1200</v>
      </c>
      <c r="H130" s="88">
        <f t="shared" si="10"/>
        <v>380</v>
      </c>
      <c r="I130" s="104">
        <f t="shared" si="11"/>
        <v>30</v>
      </c>
      <c r="J130" s="87">
        <f t="shared" si="12"/>
        <v>400</v>
      </c>
      <c r="K130" s="104">
        <f t="shared" si="13"/>
        <v>30</v>
      </c>
      <c r="L130" s="87">
        <f t="shared" si="14"/>
        <v>420</v>
      </c>
    </row>
    <row r="131" spans="1:12" ht="12.75">
      <c r="A131" s="100"/>
      <c r="B131" s="101" t="s">
        <v>292</v>
      </c>
      <c r="C131" s="101" t="s">
        <v>230</v>
      </c>
      <c r="D131" s="102">
        <f>'[1] 2210,2240 за підроздіами'!E157</f>
        <v>68</v>
      </c>
      <c r="E131" s="102">
        <f t="shared" si="8"/>
        <v>71.74</v>
      </c>
      <c r="F131" s="103">
        <f>'[1] 2210,2240 за підроздіами'!F157</f>
        <v>3</v>
      </c>
      <c r="G131" s="87">
        <f t="shared" si="9"/>
        <v>679</v>
      </c>
      <c r="H131" s="88">
        <f t="shared" si="10"/>
        <v>215</v>
      </c>
      <c r="I131" s="104">
        <f t="shared" si="11"/>
        <v>3</v>
      </c>
      <c r="J131" s="87">
        <f t="shared" si="12"/>
        <v>226</v>
      </c>
      <c r="K131" s="104">
        <f t="shared" si="13"/>
        <v>3</v>
      </c>
      <c r="L131" s="87">
        <f t="shared" si="14"/>
        <v>238</v>
      </c>
    </row>
    <row r="132" spans="1:12" ht="12.75">
      <c r="A132" s="100"/>
      <c r="B132" s="101" t="s">
        <v>293</v>
      </c>
      <c r="C132" s="63" t="s">
        <v>294</v>
      </c>
      <c r="D132" s="102">
        <f>'[1] 2210,2240 за підроздіами'!E158</f>
        <v>405</v>
      </c>
      <c r="E132" s="102">
        <f t="shared" si="8"/>
        <v>427.28</v>
      </c>
      <c r="F132" s="103">
        <v>190</v>
      </c>
      <c r="G132" s="87">
        <f t="shared" si="9"/>
        <v>1146252</v>
      </c>
      <c r="H132" s="88">
        <f t="shared" si="10"/>
        <v>81183</v>
      </c>
      <c r="I132" s="104">
        <f>F132*3</f>
        <v>570</v>
      </c>
      <c r="J132" s="87">
        <f>ROUND((H132*105.3%),)*3</f>
        <v>256458</v>
      </c>
      <c r="K132" s="104">
        <f>F132*3</f>
        <v>570</v>
      </c>
      <c r="L132" s="87">
        <f>ROUND((J132*105.1%),)*3</f>
        <v>808611</v>
      </c>
    </row>
    <row r="133" spans="1:12" ht="12.75">
      <c r="A133" s="100"/>
      <c r="B133" s="105" t="s">
        <v>295</v>
      </c>
      <c r="C133" s="101" t="s">
        <v>230</v>
      </c>
      <c r="D133" s="102">
        <f>'[1] 2210,2240 за підроздіами'!E203</f>
        <v>1000</v>
      </c>
      <c r="E133" s="102">
        <f t="shared" si="8"/>
        <v>1055</v>
      </c>
      <c r="F133" s="103">
        <f>'[1] 2210,2240 за підроздіами'!F203</f>
        <v>3</v>
      </c>
      <c r="G133" s="87">
        <f t="shared" si="9"/>
        <v>10001</v>
      </c>
      <c r="H133" s="88">
        <f t="shared" si="10"/>
        <v>3165</v>
      </c>
      <c r="I133" s="104">
        <f t="shared" si="11"/>
        <v>3</v>
      </c>
      <c r="J133" s="87">
        <f t="shared" si="12"/>
        <v>3333</v>
      </c>
      <c r="K133" s="104">
        <f t="shared" si="13"/>
        <v>3</v>
      </c>
      <c r="L133" s="87">
        <f t="shared" si="14"/>
        <v>3503</v>
      </c>
    </row>
    <row r="134" spans="1:12" ht="12.75">
      <c r="A134" s="100"/>
      <c r="B134" s="105" t="s">
        <v>297</v>
      </c>
      <c r="C134" s="101" t="s">
        <v>296</v>
      </c>
      <c r="D134" s="102">
        <v>150</v>
      </c>
      <c r="E134" s="102">
        <f t="shared" si="8"/>
        <v>158.25</v>
      </c>
      <c r="F134" s="103">
        <v>40</v>
      </c>
      <c r="G134" s="87">
        <f t="shared" si="9"/>
        <v>20000</v>
      </c>
      <c r="H134" s="88">
        <f t="shared" si="10"/>
        <v>6330</v>
      </c>
      <c r="I134" s="104">
        <f t="shared" si="11"/>
        <v>40</v>
      </c>
      <c r="J134" s="87">
        <f t="shared" si="12"/>
        <v>6665</v>
      </c>
      <c r="K134" s="104">
        <f t="shared" si="13"/>
        <v>40</v>
      </c>
      <c r="L134" s="87">
        <f t="shared" si="14"/>
        <v>7005</v>
      </c>
    </row>
    <row r="135" spans="1:12" ht="12.75">
      <c r="A135" s="100"/>
      <c r="B135" s="101" t="s">
        <v>298</v>
      </c>
      <c r="C135" s="101" t="s">
        <v>299</v>
      </c>
      <c r="D135" s="102">
        <v>27.9</v>
      </c>
      <c r="E135" s="102">
        <f t="shared" si="8"/>
        <v>29.43</v>
      </c>
      <c r="F135" s="103">
        <v>3800</v>
      </c>
      <c r="G135" s="87">
        <f t="shared" si="9"/>
        <v>842424</v>
      </c>
      <c r="H135" s="88">
        <f t="shared" si="10"/>
        <v>111834</v>
      </c>
      <c r="I135" s="104">
        <f>F135*2</f>
        <v>7600</v>
      </c>
      <c r="J135" s="87">
        <f>ROUND((H135*105.3%),)*2</f>
        <v>235522</v>
      </c>
      <c r="K135" s="104">
        <f>F135*2</f>
        <v>7600</v>
      </c>
      <c r="L135" s="87">
        <f>ROUND((J135*105.1%),)*2</f>
        <v>495068</v>
      </c>
    </row>
    <row r="136" spans="1:12" ht="12.75" hidden="1">
      <c r="A136" s="100"/>
      <c r="B136" s="101" t="s">
        <v>300</v>
      </c>
      <c r="C136" s="101" t="s">
        <v>299</v>
      </c>
      <c r="D136" s="102">
        <f>'[1] 2210,2240 за підроздіами'!E163</f>
        <v>77</v>
      </c>
      <c r="E136" s="102">
        <f t="shared" si="8"/>
        <v>81.24</v>
      </c>
      <c r="F136" s="103">
        <f>'[1] 2210,2240 за підроздіами'!F163</f>
        <v>0</v>
      </c>
      <c r="G136" s="87">
        <f t="shared" si="9"/>
        <v>0</v>
      </c>
      <c r="H136" s="88">
        <f t="shared" si="10"/>
        <v>0</v>
      </c>
      <c r="I136" s="104">
        <f t="shared" si="11"/>
        <v>0</v>
      </c>
      <c r="J136" s="87">
        <f t="shared" si="12"/>
        <v>0</v>
      </c>
      <c r="K136" s="104">
        <f t="shared" si="13"/>
        <v>0</v>
      </c>
      <c r="L136" s="87">
        <f t="shared" si="14"/>
        <v>0</v>
      </c>
    </row>
    <row r="137" spans="1:12" ht="12.75">
      <c r="A137" s="100"/>
      <c r="B137" s="101" t="s">
        <v>301</v>
      </c>
      <c r="C137" s="101" t="s">
        <v>261</v>
      </c>
      <c r="D137" s="102">
        <f>'[1] 2210,2240 за підроздіами'!E165</f>
        <v>41</v>
      </c>
      <c r="E137" s="102">
        <f t="shared" si="8"/>
        <v>43.26</v>
      </c>
      <c r="F137" s="103">
        <f>'[1] 2210,2240 за підроздіами'!F165</f>
        <v>11</v>
      </c>
      <c r="G137" s="87">
        <f t="shared" si="9"/>
        <v>1504</v>
      </c>
      <c r="H137" s="88">
        <f t="shared" si="10"/>
        <v>476</v>
      </c>
      <c r="I137" s="104">
        <f t="shared" si="11"/>
        <v>11</v>
      </c>
      <c r="J137" s="87">
        <f t="shared" si="12"/>
        <v>501</v>
      </c>
      <c r="K137" s="104">
        <f t="shared" si="13"/>
        <v>11</v>
      </c>
      <c r="L137" s="87">
        <f t="shared" si="14"/>
        <v>527</v>
      </c>
    </row>
    <row r="138" spans="1:12" ht="12.75">
      <c r="A138" s="100"/>
      <c r="B138" s="101" t="s">
        <v>302</v>
      </c>
      <c r="C138" s="101" t="s">
        <v>261</v>
      </c>
      <c r="D138" s="102">
        <f>'[1] 2210,2240 за підроздіами'!E166</f>
        <v>41</v>
      </c>
      <c r="E138" s="102">
        <f t="shared" si="8"/>
        <v>43.26</v>
      </c>
      <c r="F138" s="103">
        <f>'[1] 2210,2240 за підроздіами'!F166</f>
        <v>5</v>
      </c>
      <c r="G138" s="87">
        <f t="shared" si="9"/>
        <v>682</v>
      </c>
      <c r="H138" s="88">
        <f t="shared" si="10"/>
        <v>216</v>
      </c>
      <c r="I138" s="104">
        <f t="shared" si="11"/>
        <v>5</v>
      </c>
      <c r="J138" s="87">
        <f t="shared" si="12"/>
        <v>227</v>
      </c>
      <c r="K138" s="104">
        <f t="shared" si="13"/>
        <v>5</v>
      </c>
      <c r="L138" s="87">
        <f t="shared" si="14"/>
        <v>239</v>
      </c>
    </row>
    <row r="139" spans="1:12" ht="12.75">
      <c r="A139" s="100"/>
      <c r="B139" s="101" t="s">
        <v>303</v>
      </c>
      <c r="C139" s="101" t="s">
        <v>230</v>
      </c>
      <c r="D139" s="102">
        <f>'[1] 2210,2240 за підроздіами'!E169</f>
        <v>2.4</v>
      </c>
      <c r="E139" s="102">
        <f t="shared" si="8"/>
        <v>2.53</v>
      </c>
      <c r="F139" s="103">
        <v>1000</v>
      </c>
      <c r="G139" s="87">
        <f t="shared" si="9"/>
        <v>7994</v>
      </c>
      <c r="H139" s="88">
        <f t="shared" si="10"/>
        <v>2530</v>
      </c>
      <c r="I139" s="104">
        <f t="shared" si="11"/>
        <v>1000</v>
      </c>
      <c r="J139" s="87">
        <f t="shared" si="12"/>
        <v>2664</v>
      </c>
      <c r="K139" s="104">
        <f t="shared" si="13"/>
        <v>1000</v>
      </c>
      <c r="L139" s="87">
        <f t="shared" si="14"/>
        <v>2800</v>
      </c>
    </row>
    <row r="140" spans="1:12" ht="12.75">
      <c r="A140" s="100"/>
      <c r="B140" s="101" t="s">
        <v>304</v>
      </c>
      <c r="C140" s="101" t="s">
        <v>230</v>
      </c>
      <c r="D140" s="102">
        <f>'[1] 2210,2240 за підроздіами'!E170</f>
        <v>7</v>
      </c>
      <c r="E140" s="102">
        <f t="shared" si="8"/>
        <v>7.39</v>
      </c>
      <c r="F140" s="103">
        <v>10</v>
      </c>
      <c r="G140" s="87">
        <f t="shared" si="9"/>
        <v>234</v>
      </c>
      <c r="H140" s="88">
        <f t="shared" si="10"/>
        <v>74</v>
      </c>
      <c r="I140" s="104">
        <f t="shared" si="11"/>
        <v>10</v>
      </c>
      <c r="J140" s="87">
        <f t="shared" si="12"/>
        <v>78</v>
      </c>
      <c r="K140" s="104">
        <f t="shared" si="13"/>
        <v>10</v>
      </c>
      <c r="L140" s="87">
        <f t="shared" si="14"/>
        <v>82</v>
      </c>
    </row>
    <row r="141" spans="1:12" ht="12.75">
      <c r="A141" s="100"/>
      <c r="B141" s="101" t="s">
        <v>305</v>
      </c>
      <c r="C141" s="101" t="s">
        <v>230</v>
      </c>
      <c r="D141" s="102">
        <f>'[1] 2210,2240 за підроздіами'!E171</f>
        <v>34</v>
      </c>
      <c r="E141" s="102">
        <f t="shared" si="8"/>
        <v>35.87</v>
      </c>
      <c r="F141" s="103">
        <f>'[1] 2210,2240 за підроздіами'!F171</f>
        <v>21</v>
      </c>
      <c r="G141" s="87">
        <f t="shared" si="9"/>
        <v>2379</v>
      </c>
      <c r="H141" s="88">
        <f t="shared" si="10"/>
        <v>753</v>
      </c>
      <c r="I141" s="104">
        <f t="shared" si="11"/>
        <v>21</v>
      </c>
      <c r="J141" s="87">
        <f t="shared" si="12"/>
        <v>793</v>
      </c>
      <c r="K141" s="104">
        <f t="shared" si="13"/>
        <v>21</v>
      </c>
      <c r="L141" s="87">
        <f t="shared" si="14"/>
        <v>833</v>
      </c>
    </row>
    <row r="142" spans="1:12" ht="12.75">
      <c r="A142" s="100"/>
      <c r="B142" s="101" t="s">
        <v>306</v>
      </c>
      <c r="C142" s="101" t="s">
        <v>230</v>
      </c>
      <c r="D142" s="102">
        <f>'[1] 2210,2240 за підроздіами'!E172</f>
        <v>3</v>
      </c>
      <c r="E142" s="102">
        <f t="shared" si="8"/>
        <v>3.17</v>
      </c>
      <c r="F142" s="103">
        <f>'[1] 2210,2240 за підроздіами'!F172</f>
        <v>85</v>
      </c>
      <c r="G142" s="87">
        <f t="shared" si="9"/>
        <v>849</v>
      </c>
      <c r="H142" s="88">
        <f t="shared" si="10"/>
        <v>269</v>
      </c>
      <c r="I142" s="104">
        <f t="shared" si="11"/>
        <v>85</v>
      </c>
      <c r="J142" s="87">
        <f t="shared" si="12"/>
        <v>283</v>
      </c>
      <c r="K142" s="104">
        <f t="shared" si="13"/>
        <v>85</v>
      </c>
      <c r="L142" s="87">
        <f t="shared" si="14"/>
        <v>297</v>
      </c>
    </row>
    <row r="143" spans="1:12" ht="12.75">
      <c r="A143" s="100"/>
      <c r="B143" s="101" t="s">
        <v>536</v>
      </c>
      <c r="C143" s="101" t="s">
        <v>230</v>
      </c>
      <c r="D143" s="102">
        <v>380</v>
      </c>
      <c r="E143" s="102">
        <f t="shared" si="8"/>
        <v>400.9</v>
      </c>
      <c r="F143" s="103">
        <v>1</v>
      </c>
      <c r="G143" s="87">
        <f t="shared" si="9"/>
        <v>1267</v>
      </c>
      <c r="H143" s="88">
        <f t="shared" si="10"/>
        <v>401</v>
      </c>
      <c r="I143" s="104">
        <f t="shared" si="11"/>
        <v>1</v>
      </c>
      <c r="J143" s="87">
        <f t="shared" si="12"/>
        <v>422</v>
      </c>
      <c r="K143" s="104">
        <f t="shared" si="13"/>
        <v>1</v>
      </c>
      <c r="L143" s="87">
        <f t="shared" si="14"/>
        <v>444</v>
      </c>
    </row>
    <row r="144" spans="1:12" ht="12.75">
      <c r="A144" s="100"/>
      <c r="B144" s="101" t="s">
        <v>307</v>
      </c>
      <c r="C144" s="101" t="s">
        <v>308</v>
      </c>
      <c r="D144" s="102">
        <f>'[1] 2210,2240 за підроздіами'!E174</f>
        <v>26.4</v>
      </c>
      <c r="E144" s="102">
        <f t="shared" si="8"/>
        <v>27.85</v>
      </c>
      <c r="F144" s="103">
        <f>'[1] 2210,2240 за підроздіами'!F174</f>
        <v>6</v>
      </c>
      <c r="G144" s="87">
        <f t="shared" si="9"/>
        <v>528</v>
      </c>
      <c r="H144" s="88">
        <f t="shared" si="10"/>
        <v>167</v>
      </c>
      <c r="I144" s="104">
        <f t="shared" si="11"/>
        <v>6</v>
      </c>
      <c r="J144" s="87">
        <f t="shared" si="12"/>
        <v>176</v>
      </c>
      <c r="K144" s="104">
        <f t="shared" si="13"/>
        <v>6</v>
      </c>
      <c r="L144" s="87">
        <f t="shared" si="14"/>
        <v>185</v>
      </c>
    </row>
    <row r="145" spans="1:12" ht="12.75">
      <c r="A145" s="100"/>
      <c r="B145" s="101" t="s">
        <v>309</v>
      </c>
      <c r="C145" s="101" t="s">
        <v>230</v>
      </c>
      <c r="D145" s="102">
        <f>'[1] 2210,2240 за підроздіами'!E175</f>
        <v>70</v>
      </c>
      <c r="E145" s="102">
        <f t="shared" si="8"/>
        <v>73.85</v>
      </c>
      <c r="F145" s="103">
        <f>'[1] 2210,2240 за підроздіами'!F175</f>
        <v>2</v>
      </c>
      <c r="G145" s="87">
        <f t="shared" si="9"/>
        <v>468</v>
      </c>
      <c r="H145" s="88">
        <f t="shared" si="10"/>
        <v>148</v>
      </c>
      <c r="I145" s="104">
        <f t="shared" si="11"/>
        <v>2</v>
      </c>
      <c r="J145" s="87">
        <f t="shared" si="12"/>
        <v>156</v>
      </c>
      <c r="K145" s="104">
        <f t="shared" si="13"/>
        <v>2</v>
      </c>
      <c r="L145" s="87">
        <f t="shared" si="14"/>
        <v>164</v>
      </c>
    </row>
    <row r="146" spans="1:12" ht="12.75">
      <c r="A146" s="100"/>
      <c r="B146" s="101" t="s">
        <v>310</v>
      </c>
      <c r="C146" s="101" t="s">
        <v>230</v>
      </c>
      <c r="D146" s="102">
        <f>'[1] 2210,2240 за підроздіами'!E176</f>
        <v>6</v>
      </c>
      <c r="E146" s="102">
        <f t="shared" si="8"/>
        <v>6.33</v>
      </c>
      <c r="F146" s="103">
        <v>200</v>
      </c>
      <c r="G146" s="87">
        <f t="shared" si="9"/>
        <v>4000</v>
      </c>
      <c r="H146" s="88">
        <f t="shared" si="10"/>
        <v>1266</v>
      </c>
      <c r="I146" s="104">
        <f t="shared" si="11"/>
        <v>200</v>
      </c>
      <c r="J146" s="87">
        <f t="shared" si="12"/>
        <v>1333</v>
      </c>
      <c r="K146" s="104">
        <f t="shared" si="13"/>
        <v>200</v>
      </c>
      <c r="L146" s="87">
        <f t="shared" si="14"/>
        <v>1401</v>
      </c>
    </row>
    <row r="147" spans="1:12" ht="12.75">
      <c r="A147" s="100"/>
      <c r="B147" s="101" t="s">
        <v>311</v>
      </c>
      <c r="C147" s="101" t="s">
        <v>312</v>
      </c>
      <c r="D147" s="102">
        <f>'[1] 2210,2240 за підроздіами'!E177</f>
        <v>430</v>
      </c>
      <c r="E147" s="102">
        <f t="shared" si="8"/>
        <v>453.65</v>
      </c>
      <c r="F147" s="103">
        <v>8</v>
      </c>
      <c r="G147" s="87">
        <f t="shared" si="9"/>
        <v>11466</v>
      </c>
      <c r="H147" s="88">
        <f t="shared" si="10"/>
        <v>3629</v>
      </c>
      <c r="I147" s="104">
        <f t="shared" si="11"/>
        <v>8</v>
      </c>
      <c r="J147" s="87">
        <f t="shared" si="12"/>
        <v>3821</v>
      </c>
      <c r="K147" s="104">
        <f t="shared" si="13"/>
        <v>8</v>
      </c>
      <c r="L147" s="87">
        <f t="shared" si="14"/>
        <v>4016</v>
      </c>
    </row>
    <row r="148" spans="1:12" ht="12.75">
      <c r="A148" s="100"/>
      <c r="B148" s="115" t="s">
        <v>313</v>
      </c>
      <c r="C148" s="101" t="s">
        <v>230</v>
      </c>
      <c r="D148" s="102">
        <f>'[1] 2210,2240 за підроздіами'!E178</f>
        <v>48</v>
      </c>
      <c r="E148" s="102">
        <f t="shared" si="8"/>
        <v>50.64</v>
      </c>
      <c r="F148" s="103">
        <f>'[1] 2210,2240 за підроздіами'!F178</f>
        <v>3</v>
      </c>
      <c r="G148" s="87">
        <f t="shared" si="9"/>
        <v>480</v>
      </c>
      <c r="H148" s="88">
        <f t="shared" si="10"/>
        <v>152</v>
      </c>
      <c r="I148" s="104">
        <f t="shared" si="11"/>
        <v>3</v>
      </c>
      <c r="J148" s="87">
        <f t="shared" si="12"/>
        <v>160</v>
      </c>
      <c r="K148" s="104">
        <f t="shared" si="13"/>
        <v>3</v>
      </c>
      <c r="L148" s="87">
        <f t="shared" si="14"/>
        <v>168</v>
      </c>
    </row>
    <row r="149" spans="1:12" ht="12.75">
      <c r="A149" s="100"/>
      <c r="B149" s="115" t="s">
        <v>314</v>
      </c>
      <c r="C149" s="101" t="s">
        <v>230</v>
      </c>
      <c r="D149" s="102">
        <f>'[1] 2210,2240 за підроздіами'!E180</f>
        <v>64</v>
      </c>
      <c r="E149" s="102">
        <f t="shared" si="8"/>
        <v>67.52</v>
      </c>
      <c r="F149" s="103">
        <v>100</v>
      </c>
      <c r="G149" s="87">
        <f t="shared" si="9"/>
        <v>21335</v>
      </c>
      <c r="H149" s="88">
        <f t="shared" si="10"/>
        <v>6752</v>
      </c>
      <c r="I149" s="104">
        <f t="shared" si="11"/>
        <v>100</v>
      </c>
      <c r="J149" s="87">
        <f t="shared" si="12"/>
        <v>7110</v>
      </c>
      <c r="K149" s="104">
        <f t="shared" si="13"/>
        <v>100</v>
      </c>
      <c r="L149" s="87">
        <f t="shared" si="14"/>
        <v>7473</v>
      </c>
    </row>
    <row r="150" spans="1:12" ht="12.75">
      <c r="A150" s="100"/>
      <c r="B150" s="115" t="s">
        <v>315</v>
      </c>
      <c r="C150" s="101" t="s">
        <v>230</v>
      </c>
      <c r="D150" s="102">
        <f>'[1] 2210,2240 за підроздіами'!E181</f>
        <v>48</v>
      </c>
      <c r="E150" s="102">
        <f aca="true" t="shared" si="15" ref="E150:E176">ROUND((D150*105.5%),2)</f>
        <v>50.64</v>
      </c>
      <c r="F150" s="103">
        <f>'[1] 2210,2240 за підроздіами'!F181</f>
        <v>5</v>
      </c>
      <c r="G150" s="87">
        <f t="shared" si="9"/>
        <v>799</v>
      </c>
      <c r="H150" s="88">
        <f aca="true" t="shared" si="16" ref="H150:H176">ROUND((E150*F150),)</f>
        <v>253</v>
      </c>
      <c r="I150" s="104">
        <f t="shared" si="11"/>
        <v>5</v>
      </c>
      <c r="J150" s="87">
        <f aca="true" t="shared" si="17" ref="J150:J176">ROUND((H150*105.3%),)</f>
        <v>266</v>
      </c>
      <c r="K150" s="104">
        <f t="shared" si="13"/>
        <v>5</v>
      </c>
      <c r="L150" s="87">
        <f aca="true" t="shared" si="18" ref="L150:L197">ROUND((J150*105.1%),)</f>
        <v>280</v>
      </c>
    </row>
    <row r="151" spans="1:12" ht="12.75">
      <c r="A151" s="100"/>
      <c r="B151" s="101" t="s">
        <v>316</v>
      </c>
      <c r="C151" s="101" t="s">
        <v>261</v>
      </c>
      <c r="D151" s="102">
        <f>'[1] 2210,2240 за підроздіами'!E182</f>
        <v>2.3</v>
      </c>
      <c r="E151" s="102">
        <f t="shared" si="15"/>
        <v>2.43</v>
      </c>
      <c r="F151" s="103">
        <v>60</v>
      </c>
      <c r="G151" s="87">
        <f aca="true" t="shared" si="19" ref="G151:G176">SUM(L151+J151+H151)</f>
        <v>462</v>
      </c>
      <c r="H151" s="88">
        <f t="shared" si="16"/>
        <v>146</v>
      </c>
      <c r="I151" s="104">
        <f aca="true" t="shared" si="20" ref="I151:I176">F151</f>
        <v>60</v>
      </c>
      <c r="J151" s="87">
        <f t="shared" si="17"/>
        <v>154</v>
      </c>
      <c r="K151" s="104">
        <f aca="true" t="shared" si="21" ref="K151:K176">F151</f>
        <v>60</v>
      </c>
      <c r="L151" s="87">
        <f t="shared" si="18"/>
        <v>162</v>
      </c>
    </row>
    <row r="152" spans="1:12" ht="12.75">
      <c r="A152" s="100"/>
      <c r="B152" s="101" t="s">
        <v>317</v>
      </c>
      <c r="C152" s="101" t="s">
        <v>261</v>
      </c>
      <c r="D152" s="102">
        <f>'[1] 2210,2240 за підроздіами'!E183</f>
        <v>5.8</v>
      </c>
      <c r="E152" s="102">
        <f t="shared" si="15"/>
        <v>6.12</v>
      </c>
      <c r="F152" s="103">
        <v>280</v>
      </c>
      <c r="G152" s="87">
        <f t="shared" si="19"/>
        <v>5416</v>
      </c>
      <c r="H152" s="88">
        <f t="shared" si="16"/>
        <v>1714</v>
      </c>
      <c r="I152" s="104">
        <f t="shared" si="20"/>
        <v>280</v>
      </c>
      <c r="J152" s="87">
        <f t="shared" si="17"/>
        <v>1805</v>
      </c>
      <c r="K152" s="104">
        <f t="shared" si="21"/>
        <v>280</v>
      </c>
      <c r="L152" s="87">
        <f t="shared" si="18"/>
        <v>1897</v>
      </c>
    </row>
    <row r="153" spans="1:12" ht="12.75">
      <c r="A153" s="100"/>
      <c r="B153" s="101" t="s">
        <v>318</v>
      </c>
      <c r="C153" s="101" t="s">
        <v>261</v>
      </c>
      <c r="D153" s="102">
        <f>'[1] 2210,2240 за підроздіами'!E184</f>
        <v>59</v>
      </c>
      <c r="E153" s="102">
        <f t="shared" si="15"/>
        <v>62.25</v>
      </c>
      <c r="F153" s="103">
        <v>2</v>
      </c>
      <c r="G153" s="87">
        <f t="shared" si="19"/>
        <v>396</v>
      </c>
      <c r="H153" s="88">
        <f t="shared" si="16"/>
        <v>125</v>
      </c>
      <c r="I153" s="104">
        <f t="shared" si="20"/>
        <v>2</v>
      </c>
      <c r="J153" s="87">
        <f t="shared" si="17"/>
        <v>132</v>
      </c>
      <c r="K153" s="104">
        <f t="shared" si="21"/>
        <v>2</v>
      </c>
      <c r="L153" s="87">
        <f t="shared" si="18"/>
        <v>139</v>
      </c>
    </row>
    <row r="154" spans="1:12" ht="12.75">
      <c r="A154" s="100"/>
      <c r="B154" s="115" t="s">
        <v>319</v>
      </c>
      <c r="C154" s="101" t="s">
        <v>230</v>
      </c>
      <c r="D154" s="102">
        <f>'[1] 2210,2240 за підроздіами'!E185</f>
        <v>18</v>
      </c>
      <c r="E154" s="102">
        <f t="shared" si="15"/>
        <v>18.99</v>
      </c>
      <c r="F154" s="103">
        <v>150</v>
      </c>
      <c r="G154" s="87">
        <f t="shared" si="19"/>
        <v>9002</v>
      </c>
      <c r="H154" s="88">
        <f t="shared" si="16"/>
        <v>2849</v>
      </c>
      <c r="I154" s="104">
        <f t="shared" si="20"/>
        <v>150</v>
      </c>
      <c r="J154" s="87">
        <f t="shared" si="17"/>
        <v>3000</v>
      </c>
      <c r="K154" s="104">
        <f t="shared" si="21"/>
        <v>150</v>
      </c>
      <c r="L154" s="87">
        <f t="shared" si="18"/>
        <v>3153</v>
      </c>
    </row>
    <row r="155" spans="1:12" ht="12.75">
      <c r="A155" s="100"/>
      <c r="B155" s="115" t="s">
        <v>320</v>
      </c>
      <c r="C155" s="101" t="s">
        <v>230</v>
      </c>
      <c r="D155" s="102">
        <f>'[1] 2210,2240 за підроздіами'!E186</f>
        <v>6</v>
      </c>
      <c r="E155" s="102">
        <f t="shared" si="15"/>
        <v>6.33</v>
      </c>
      <c r="F155" s="103">
        <v>100</v>
      </c>
      <c r="G155" s="87">
        <f t="shared" si="19"/>
        <v>2001</v>
      </c>
      <c r="H155" s="88">
        <f t="shared" si="16"/>
        <v>633</v>
      </c>
      <c r="I155" s="104">
        <f t="shared" si="20"/>
        <v>100</v>
      </c>
      <c r="J155" s="87">
        <f t="shared" si="17"/>
        <v>667</v>
      </c>
      <c r="K155" s="104">
        <f t="shared" si="21"/>
        <v>100</v>
      </c>
      <c r="L155" s="87">
        <f t="shared" si="18"/>
        <v>701</v>
      </c>
    </row>
    <row r="156" spans="1:12" ht="12.75">
      <c r="A156" s="100"/>
      <c r="B156" s="101" t="s">
        <v>321</v>
      </c>
      <c r="C156" s="101" t="s">
        <v>261</v>
      </c>
      <c r="D156" s="102">
        <f>'[1] 2210,2240 за підроздіами'!E187</f>
        <v>16</v>
      </c>
      <c r="E156" s="102">
        <f t="shared" si="15"/>
        <v>16.88</v>
      </c>
      <c r="F156" s="103">
        <f>'[1] 2210,2240 за підроздіами'!F187</f>
        <v>43</v>
      </c>
      <c r="G156" s="87">
        <f t="shared" si="19"/>
        <v>2293</v>
      </c>
      <c r="H156" s="88">
        <f t="shared" si="16"/>
        <v>726</v>
      </c>
      <c r="I156" s="104">
        <f t="shared" si="20"/>
        <v>43</v>
      </c>
      <c r="J156" s="87">
        <f t="shared" si="17"/>
        <v>764</v>
      </c>
      <c r="K156" s="104">
        <f t="shared" si="21"/>
        <v>43</v>
      </c>
      <c r="L156" s="87">
        <f t="shared" si="18"/>
        <v>803</v>
      </c>
    </row>
    <row r="157" spans="1:12" ht="12.75">
      <c r="A157" s="100"/>
      <c r="B157" s="101" t="s">
        <v>322</v>
      </c>
      <c r="C157" s="101" t="s">
        <v>261</v>
      </c>
      <c r="D157" s="102">
        <f>'[1] 2210,2240 за підроздіами'!E188</f>
        <v>5.6</v>
      </c>
      <c r="E157" s="102">
        <f t="shared" si="15"/>
        <v>5.91</v>
      </c>
      <c r="F157" s="103">
        <f>'[1] 2210,2240 за підроздіами'!F188</f>
        <v>234</v>
      </c>
      <c r="G157" s="87">
        <f t="shared" si="19"/>
        <v>4369</v>
      </c>
      <c r="H157" s="88">
        <f t="shared" si="16"/>
        <v>1383</v>
      </c>
      <c r="I157" s="104">
        <f t="shared" si="20"/>
        <v>234</v>
      </c>
      <c r="J157" s="87">
        <f t="shared" si="17"/>
        <v>1456</v>
      </c>
      <c r="K157" s="104">
        <f t="shared" si="21"/>
        <v>234</v>
      </c>
      <c r="L157" s="87">
        <f t="shared" si="18"/>
        <v>1530</v>
      </c>
    </row>
    <row r="158" spans="1:12" ht="12.75">
      <c r="A158" s="100"/>
      <c r="B158" s="101" t="s">
        <v>323</v>
      </c>
      <c r="C158" s="101" t="s">
        <v>261</v>
      </c>
      <c r="D158" s="102">
        <f>'[1] 2210,2240 за підроздіами'!E189</f>
        <v>8</v>
      </c>
      <c r="E158" s="102">
        <f t="shared" si="15"/>
        <v>8.44</v>
      </c>
      <c r="F158" s="103">
        <f>'[1] 2210,2240 за підроздіами'!F189</f>
        <v>20</v>
      </c>
      <c r="G158" s="87">
        <f t="shared" si="19"/>
        <v>534</v>
      </c>
      <c r="H158" s="88">
        <f t="shared" si="16"/>
        <v>169</v>
      </c>
      <c r="I158" s="104">
        <f t="shared" si="20"/>
        <v>20</v>
      </c>
      <c r="J158" s="87">
        <f t="shared" si="17"/>
        <v>178</v>
      </c>
      <c r="K158" s="104">
        <f t="shared" si="21"/>
        <v>20</v>
      </c>
      <c r="L158" s="87">
        <f t="shared" si="18"/>
        <v>187</v>
      </c>
    </row>
    <row r="159" spans="1:12" ht="12.75">
      <c r="A159" s="100"/>
      <c r="B159" s="101" t="s">
        <v>324</v>
      </c>
      <c r="C159" s="101" t="s">
        <v>230</v>
      </c>
      <c r="D159" s="102">
        <f>'[1] 2210,2240 за підроздіами'!E190</f>
        <v>1200</v>
      </c>
      <c r="E159" s="102">
        <f t="shared" si="15"/>
        <v>1266</v>
      </c>
      <c r="F159" s="103">
        <f>'[1] 2210,2240 за підроздіами'!F190</f>
        <v>3</v>
      </c>
      <c r="G159" s="87">
        <f t="shared" si="19"/>
        <v>12000</v>
      </c>
      <c r="H159" s="88">
        <f t="shared" si="16"/>
        <v>3798</v>
      </c>
      <c r="I159" s="104">
        <f t="shared" si="20"/>
        <v>3</v>
      </c>
      <c r="J159" s="87">
        <f t="shared" si="17"/>
        <v>3999</v>
      </c>
      <c r="K159" s="104">
        <f t="shared" si="21"/>
        <v>3</v>
      </c>
      <c r="L159" s="87">
        <f t="shared" si="18"/>
        <v>4203</v>
      </c>
    </row>
    <row r="160" spans="1:12" ht="12.75">
      <c r="A160" s="100"/>
      <c r="B160" s="101" t="s">
        <v>325</v>
      </c>
      <c r="C160" s="101" t="s">
        <v>230</v>
      </c>
      <c r="D160" s="102">
        <f>'[1] 2210,2240 за підроздіами'!E191</f>
        <v>47</v>
      </c>
      <c r="E160" s="102">
        <f t="shared" si="15"/>
        <v>49.59</v>
      </c>
      <c r="F160" s="103">
        <f>'[1] 2210,2240 за підроздіами'!F191</f>
        <v>5</v>
      </c>
      <c r="G160" s="87">
        <f t="shared" si="19"/>
        <v>783</v>
      </c>
      <c r="H160" s="88">
        <f t="shared" si="16"/>
        <v>248</v>
      </c>
      <c r="I160" s="104">
        <f t="shared" si="20"/>
        <v>5</v>
      </c>
      <c r="J160" s="87">
        <f t="shared" si="17"/>
        <v>261</v>
      </c>
      <c r="K160" s="104">
        <f t="shared" si="21"/>
        <v>5</v>
      </c>
      <c r="L160" s="87">
        <f t="shared" si="18"/>
        <v>274</v>
      </c>
    </row>
    <row r="161" spans="1:12" ht="12.75">
      <c r="A161" s="100"/>
      <c r="B161" s="101" t="s">
        <v>326</v>
      </c>
      <c r="C161" s="101" t="s">
        <v>230</v>
      </c>
      <c r="D161" s="102">
        <f>'[1] 2210,2240 за підроздіами'!E192</f>
        <v>70</v>
      </c>
      <c r="E161" s="102">
        <f t="shared" si="15"/>
        <v>73.85</v>
      </c>
      <c r="F161" s="103">
        <v>36</v>
      </c>
      <c r="G161" s="87">
        <f t="shared" si="19"/>
        <v>8402</v>
      </c>
      <c r="H161" s="88">
        <f t="shared" si="16"/>
        <v>2659</v>
      </c>
      <c r="I161" s="104">
        <f t="shared" si="20"/>
        <v>36</v>
      </c>
      <c r="J161" s="87">
        <f t="shared" si="17"/>
        <v>2800</v>
      </c>
      <c r="K161" s="104">
        <f t="shared" si="21"/>
        <v>36</v>
      </c>
      <c r="L161" s="87">
        <f t="shared" si="18"/>
        <v>2943</v>
      </c>
    </row>
    <row r="162" spans="1:12" ht="12.75">
      <c r="A162" s="100"/>
      <c r="B162" s="101" t="s">
        <v>327</v>
      </c>
      <c r="C162" s="101" t="s">
        <v>230</v>
      </c>
      <c r="D162" s="102">
        <f>'[1] 2210,2240 за підроздіами'!E193</f>
        <v>111</v>
      </c>
      <c r="E162" s="102">
        <f t="shared" si="15"/>
        <v>117.11</v>
      </c>
      <c r="F162" s="103">
        <f>'[1] 2210,2240 за підроздіами'!F193</f>
        <v>2</v>
      </c>
      <c r="G162" s="87">
        <f t="shared" si="19"/>
        <v>739</v>
      </c>
      <c r="H162" s="88">
        <f t="shared" si="16"/>
        <v>234</v>
      </c>
      <c r="I162" s="104">
        <f t="shared" si="20"/>
        <v>2</v>
      </c>
      <c r="J162" s="87">
        <f t="shared" si="17"/>
        <v>246</v>
      </c>
      <c r="K162" s="104">
        <f t="shared" si="21"/>
        <v>2</v>
      </c>
      <c r="L162" s="87">
        <f t="shared" si="18"/>
        <v>259</v>
      </c>
    </row>
    <row r="163" spans="1:12" ht="12.75">
      <c r="A163" s="100"/>
      <c r="B163" s="101" t="s">
        <v>328</v>
      </c>
      <c r="C163" s="101" t="s">
        <v>230</v>
      </c>
      <c r="D163" s="102">
        <f>'[1] 2210,2240 за підроздіами'!E194</f>
        <v>2</v>
      </c>
      <c r="E163" s="102">
        <f t="shared" si="15"/>
        <v>2.11</v>
      </c>
      <c r="F163" s="103">
        <v>60</v>
      </c>
      <c r="G163" s="87">
        <f t="shared" si="19"/>
        <v>402</v>
      </c>
      <c r="H163" s="88">
        <f t="shared" si="16"/>
        <v>127</v>
      </c>
      <c r="I163" s="104">
        <f t="shared" si="20"/>
        <v>60</v>
      </c>
      <c r="J163" s="87">
        <f t="shared" si="17"/>
        <v>134</v>
      </c>
      <c r="K163" s="104">
        <f t="shared" si="21"/>
        <v>60</v>
      </c>
      <c r="L163" s="87">
        <f t="shared" si="18"/>
        <v>141</v>
      </c>
    </row>
    <row r="164" spans="1:12" ht="12.75">
      <c r="A164" s="100"/>
      <c r="B164" s="101" t="s">
        <v>329</v>
      </c>
      <c r="C164" s="101" t="s">
        <v>230</v>
      </c>
      <c r="D164" s="102">
        <f>'[1] 2210,2240 за підроздіами'!E196</f>
        <v>48</v>
      </c>
      <c r="E164" s="102">
        <f t="shared" si="15"/>
        <v>50.64</v>
      </c>
      <c r="F164" s="103">
        <v>350</v>
      </c>
      <c r="G164" s="87">
        <f t="shared" si="19"/>
        <v>56002</v>
      </c>
      <c r="H164" s="88">
        <f t="shared" si="16"/>
        <v>17724</v>
      </c>
      <c r="I164" s="104">
        <f t="shared" si="20"/>
        <v>350</v>
      </c>
      <c r="J164" s="87">
        <f t="shared" si="17"/>
        <v>18663</v>
      </c>
      <c r="K164" s="104">
        <f t="shared" si="21"/>
        <v>350</v>
      </c>
      <c r="L164" s="87">
        <f t="shared" si="18"/>
        <v>19615</v>
      </c>
    </row>
    <row r="165" spans="1:12" ht="12.75">
      <c r="A165" s="100"/>
      <c r="B165" s="101" t="s">
        <v>330</v>
      </c>
      <c r="C165" s="101" t="s">
        <v>230</v>
      </c>
      <c r="D165" s="102">
        <f>'[1] 2210,2240 за підроздіами'!E198</f>
        <v>30</v>
      </c>
      <c r="E165" s="102">
        <f t="shared" si="15"/>
        <v>31.65</v>
      </c>
      <c r="F165" s="103">
        <v>500</v>
      </c>
      <c r="G165" s="87">
        <f t="shared" si="19"/>
        <v>50003</v>
      </c>
      <c r="H165" s="88">
        <f t="shared" si="16"/>
        <v>15825</v>
      </c>
      <c r="I165" s="104">
        <f t="shared" si="20"/>
        <v>500</v>
      </c>
      <c r="J165" s="87">
        <f t="shared" si="17"/>
        <v>16664</v>
      </c>
      <c r="K165" s="104">
        <f t="shared" si="21"/>
        <v>500</v>
      </c>
      <c r="L165" s="87">
        <f t="shared" si="18"/>
        <v>17514</v>
      </c>
    </row>
    <row r="166" spans="1:12" ht="12.75">
      <c r="A166" s="100"/>
      <c r="B166" s="101" t="s">
        <v>331</v>
      </c>
      <c r="C166" s="101" t="s">
        <v>230</v>
      </c>
      <c r="D166" s="102">
        <f>'[1] 2210,2240 за підроздіами'!E199</f>
        <v>300</v>
      </c>
      <c r="E166" s="102">
        <f t="shared" si="15"/>
        <v>316.5</v>
      </c>
      <c r="F166" s="103">
        <v>5</v>
      </c>
      <c r="G166" s="87">
        <f t="shared" si="19"/>
        <v>5002</v>
      </c>
      <c r="H166" s="88">
        <f t="shared" si="16"/>
        <v>1583</v>
      </c>
      <c r="I166" s="104">
        <f t="shared" si="20"/>
        <v>5</v>
      </c>
      <c r="J166" s="87">
        <f t="shared" si="17"/>
        <v>1667</v>
      </c>
      <c r="K166" s="104">
        <f t="shared" si="21"/>
        <v>5</v>
      </c>
      <c r="L166" s="87">
        <f t="shared" si="18"/>
        <v>1752</v>
      </c>
    </row>
    <row r="167" spans="1:12" ht="12.75">
      <c r="A167" s="100"/>
      <c r="B167" s="101" t="s">
        <v>332</v>
      </c>
      <c r="C167" s="101" t="s">
        <v>230</v>
      </c>
      <c r="D167" s="102">
        <f>'[1] 2210,2240 за підроздіами'!E199</f>
        <v>300</v>
      </c>
      <c r="E167" s="102">
        <f t="shared" si="15"/>
        <v>316.5</v>
      </c>
      <c r="F167" s="103">
        <v>5</v>
      </c>
      <c r="G167" s="87">
        <f>SUM(L167+J167+H167)</f>
        <v>5002</v>
      </c>
      <c r="H167" s="88">
        <f>ROUND((E167*F167),)</f>
        <v>1583</v>
      </c>
      <c r="I167" s="104">
        <f>F167</f>
        <v>5</v>
      </c>
      <c r="J167" s="87">
        <f>ROUND((H167*105.3%),)</f>
        <v>1667</v>
      </c>
      <c r="K167" s="104">
        <f>F167</f>
        <v>5</v>
      </c>
      <c r="L167" s="87">
        <f>ROUND((J167*105.1%),)</f>
        <v>1752</v>
      </c>
    </row>
    <row r="168" spans="1:12" ht="12.75">
      <c r="A168" s="100"/>
      <c r="B168" s="101" t="s">
        <v>548</v>
      </c>
      <c r="C168" s="101" t="s">
        <v>230</v>
      </c>
      <c r="D168" s="102">
        <v>1820</v>
      </c>
      <c r="E168" s="102">
        <f t="shared" si="15"/>
        <v>1920.1</v>
      </c>
      <c r="F168" s="103">
        <v>1</v>
      </c>
      <c r="G168" s="87">
        <f t="shared" si="19"/>
        <v>6067</v>
      </c>
      <c r="H168" s="88">
        <f t="shared" si="16"/>
        <v>1920</v>
      </c>
      <c r="I168" s="104">
        <f t="shared" si="20"/>
        <v>1</v>
      </c>
      <c r="J168" s="87">
        <f t="shared" si="17"/>
        <v>2022</v>
      </c>
      <c r="K168" s="104">
        <f t="shared" si="21"/>
        <v>1</v>
      </c>
      <c r="L168" s="87">
        <f t="shared" si="18"/>
        <v>2125</v>
      </c>
    </row>
    <row r="169" spans="1:12" ht="12.75">
      <c r="A169" s="100"/>
      <c r="B169" s="101" t="s">
        <v>333</v>
      </c>
      <c r="C169" s="101" t="s">
        <v>230</v>
      </c>
      <c r="D169" s="102">
        <f>'[1] 2210,2240 за підроздіами'!E201</f>
        <v>4</v>
      </c>
      <c r="E169" s="102">
        <f t="shared" si="15"/>
        <v>4.22</v>
      </c>
      <c r="F169" s="103">
        <f>'[1] 2210,2240 за підроздіами'!F201+40</f>
        <v>40</v>
      </c>
      <c r="G169" s="87">
        <f t="shared" si="19"/>
        <v>534</v>
      </c>
      <c r="H169" s="88">
        <f t="shared" si="16"/>
        <v>169</v>
      </c>
      <c r="I169" s="104">
        <f t="shared" si="20"/>
        <v>40</v>
      </c>
      <c r="J169" s="87">
        <f t="shared" si="17"/>
        <v>178</v>
      </c>
      <c r="K169" s="104">
        <f t="shared" si="21"/>
        <v>40</v>
      </c>
      <c r="L169" s="87">
        <f t="shared" si="18"/>
        <v>187</v>
      </c>
    </row>
    <row r="170" spans="1:12" ht="12.75">
      <c r="A170" s="100"/>
      <c r="B170" s="101" t="s">
        <v>334</v>
      </c>
      <c r="C170" s="101" t="s">
        <v>261</v>
      </c>
      <c r="D170" s="102">
        <f>'[1] 2210,2240 за підроздіами'!E202</f>
        <v>40</v>
      </c>
      <c r="E170" s="102">
        <f t="shared" si="15"/>
        <v>42.2</v>
      </c>
      <c r="F170" s="103">
        <v>70</v>
      </c>
      <c r="G170" s="87">
        <f t="shared" si="19"/>
        <v>9335</v>
      </c>
      <c r="H170" s="88">
        <f t="shared" si="16"/>
        <v>2954</v>
      </c>
      <c r="I170" s="104">
        <f t="shared" si="20"/>
        <v>70</v>
      </c>
      <c r="J170" s="87">
        <f t="shared" si="17"/>
        <v>3111</v>
      </c>
      <c r="K170" s="104">
        <f t="shared" si="21"/>
        <v>70</v>
      </c>
      <c r="L170" s="87">
        <f t="shared" si="18"/>
        <v>3270</v>
      </c>
    </row>
    <row r="171" spans="1:12" s="99" customFormat="1" ht="12.75">
      <c r="A171" s="100"/>
      <c r="B171" s="101" t="s">
        <v>335</v>
      </c>
      <c r="C171" s="101" t="s">
        <v>230</v>
      </c>
      <c r="D171" s="102">
        <f>'[1] 2210,2240 за підроздіами'!E204</f>
        <v>85</v>
      </c>
      <c r="E171" s="102">
        <f t="shared" si="15"/>
        <v>89.68</v>
      </c>
      <c r="F171" s="103">
        <v>40</v>
      </c>
      <c r="G171" s="87">
        <f t="shared" si="19"/>
        <v>11334</v>
      </c>
      <c r="H171" s="88">
        <f t="shared" si="16"/>
        <v>3587</v>
      </c>
      <c r="I171" s="104">
        <f t="shared" si="20"/>
        <v>40</v>
      </c>
      <c r="J171" s="87">
        <f t="shared" si="17"/>
        <v>3777</v>
      </c>
      <c r="K171" s="104">
        <f t="shared" si="21"/>
        <v>40</v>
      </c>
      <c r="L171" s="87">
        <f t="shared" si="18"/>
        <v>3970</v>
      </c>
    </row>
    <row r="172" spans="1:12" ht="12.75">
      <c r="A172" s="100"/>
      <c r="B172" s="101" t="s">
        <v>336</v>
      </c>
      <c r="C172" s="101" t="s">
        <v>230</v>
      </c>
      <c r="D172" s="102">
        <f>'[1] 2210,2240 за підроздіами'!E205</f>
        <v>200</v>
      </c>
      <c r="E172" s="102">
        <f t="shared" si="15"/>
        <v>211</v>
      </c>
      <c r="F172" s="103">
        <v>30</v>
      </c>
      <c r="G172" s="87">
        <f t="shared" si="19"/>
        <v>20000</v>
      </c>
      <c r="H172" s="88">
        <f t="shared" si="16"/>
        <v>6330</v>
      </c>
      <c r="I172" s="104">
        <f t="shared" si="20"/>
        <v>30</v>
      </c>
      <c r="J172" s="87">
        <f t="shared" si="17"/>
        <v>6665</v>
      </c>
      <c r="K172" s="104">
        <f t="shared" si="21"/>
        <v>30</v>
      </c>
      <c r="L172" s="87">
        <f t="shared" si="18"/>
        <v>7005</v>
      </c>
    </row>
    <row r="173" spans="1:12" ht="12.75">
      <c r="A173" s="100"/>
      <c r="B173" s="101" t="s">
        <v>337</v>
      </c>
      <c r="C173" s="101" t="s">
        <v>272</v>
      </c>
      <c r="D173" s="102">
        <f>'[1] 2210,2240 за підроздіами'!E207</f>
        <v>12</v>
      </c>
      <c r="E173" s="102">
        <f t="shared" si="15"/>
        <v>12.66</v>
      </c>
      <c r="F173" s="103">
        <v>8</v>
      </c>
      <c r="G173" s="87">
        <f t="shared" si="19"/>
        <v>318</v>
      </c>
      <c r="H173" s="88">
        <f t="shared" si="16"/>
        <v>101</v>
      </c>
      <c r="I173" s="104">
        <f t="shared" si="20"/>
        <v>8</v>
      </c>
      <c r="J173" s="87">
        <f t="shared" si="17"/>
        <v>106</v>
      </c>
      <c r="K173" s="104">
        <f t="shared" si="21"/>
        <v>8</v>
      </c>
      <c r="L173" s="87">
        <f t="shared" si="18"/>
        <v>111</v>
      </c>
    </row>
    <row r="174" spans="1:12" ht="12.75">
      <c r="A174" s="100"/>
      <c r="B174" s="101" t="s">
        <v>338</v>
      </c>
      <c r="C174" s="101" t="s">
        <v>230</v>
      </c>
      <c r="D174" s="102">
        <f>'[1] 2210,2240 за підроздіами'!E208</f>
        <v>3.2</v>
      </c>
      <c r="E174" s="102">
        <f t="shared" si="15"/>
        <v>3.38</v>
      </c>
      <c r="F174" s="103">
        <v>100</v>
      </c>
      <c r="G174" s="87">
        <f t="shared" si="19"/>
        <v>1068</v>
      </c>
      <c r="H174" s="88">
        <f t="shared" si="16"/>
        <v>338</v>
      </c>
      <c r="I174" s="104">
        <f t="shared" si="20"/>
        <v>100</v>
      </c>
      <c r="J174" s="87">
        <f t="shared" si="17"/>
        <v>356</v>
      </c>
      <c r="K174" s="104">
        <f t="shared" si="21"/>
        <v>100</v>
      </c>
      <c r="L174" s="87">
        <f t="shared" si="18"/>
        <v>374</v>
      </c>
    </row>
    <row r="175" spans="1:12" ht="12.75">
      <c r="A175" s="100"/>
      <c r="B175" s="101" t="s">
        <v>339</v>
      </c>
      <c r="C175" s="101" t="s">
        <v>230</v>
      </c>
      <c r="D175" s="102">
        <v>2.4</v>
      </c>
      <c r="E175" s="102"/>
      <c r="F175" s="103"/>
      <c r="G175" s="87">
        <f t="shared" si="19"/>
        <v>24813</v>
      </c>
      <c r="H175" s="88">
        <f t="shared" si="16"/>
        <v>0</v>
      </c>
      <c r="I175" s="104">
        <v>3000</v>
      </c>
      <c r="J175" s="87">
        <f>ROUND((D175*I175*105.5%*105.3%),)</f>
        <v>7999</v>
      </c>
      <c r="K175" s="104">
        <f>I175*2</f>
        <v>6000</v>
      </c>
      <c r="L175" s="87">
        <f>ROUND((J175*105.1%),)*2</f>
        <v>16814</v>
      </c>
    </row>
    <row r="176" spans="1:12" ht="12.75">
      <c r="A176" s="100"/>
      <c r="B176" s="101" t="s">
        <v>340</v>
      </c>
      <c r="C176" s="101" t="s">
        <v>230</v>
      </c>
      <c r="D176" s="102">
        <f>'[1] 2210,2240 за підроздіами'!E210</f>
        <v>18</v>
      </c>
      <c r="E176" s="102">
        <f t="shared" si="15"/>
        <v>18.99</v>
      </c>
      <c r="F176" s="103">
        <f>'[1] 2210,2240 за підроздіами'!F210</f>
        <v>3</v>
      </c>
      <c r="G176" s="87">
        <f t="shared" si="19"/>
        <v>180</v>
      </c>
      <c r="H176" s="88">
        <f t="shared" si="16"/>
        <v>57</v>
      </c>
      <c r="I176" s="104">
        <f t="shared" si="20"/>
        <v>3</v>
      </c>
      <c r="J176" s="87">
        <f t="shared" si="17"/>
        <v>60</v>
      </c>
      <c r="K176" s="104">
        <f t="shared" si="21"/>
        <v>3</v>
      </c>
      <c r="L176" s="87">
        <f t="shared" si="18"/>
        <v>63</v>
      </c>
    </row>
    <row r="177" spans="1:12" ht="12.75">
      <c r="A177" s="94"/>
      <c r="B177" s="116" t="s">
        <v>341</v>
      </c>
      <c r="C177" s="96"/>
      <c r="D177" s="97"/>
      <c r="E177" s="97"/>
      <c r="F177" s="117"/>
      <c r="G177" s="117">
        <f>SUM(G178:G185)</f>
        <v>127413</v>
      </c>
      <c r="H177" s="117">
        <f>SUM(H178:H185)</f>
        <v>29345</v>
      </c>
      <c r="I177" s="117"/>
      <c r="J177" s="117">
        <f>SUM(J178:J188)</f>
        <v>186874</v>
      </c>
      <c r="K177" s="117"/>
      <c r="L177" s="117">
        <f>SUM(L178:L188)</f>
        <v>583571</v>
      </c>
    </row>
    <row r="178" spans="1:12" ht="12.75">
      <c r="A178" s="100"/>
      <c r="B178" s="101" t="s">
        <v>343</v>
      </c>
      <c r="C178" s="101" t="s">
        <v>230</v>
      </c>
      <c r="D178" s="102">
        <v>460</v>
      </c>
      <c r="E178" s="102">
        <f aca="true" t="shared" si="22" ref="E178:E185">ROUND((D178*105.5%),2)</f>
        <v>485.3</v>
      </c>
      <c r="F178" s="103">
        <v>35</v>
      </c>
      <c r="G178" s="87">
        <f aca="true" t="shared" si="23" ref="G178:G185">SUM(L178+J178+H178)</f>
        <v>53670</v>
      </c>
      <c r="H178" s="88">
        <f aca="true" t="shared" si="24" ref="H178:H185">ROUND((E178*F178),)</f>
        <v>16986</v>
      </c>
      <c r="I178" s="104">
        <f aca="true" t="shared" si="25" ref="I178:I185">F178</f>
        <v>35</v>
      </c>
      <c r="J178" s="87">
        <f aca="true" t="shared" si="26" ref="J178:J185">ROUND((H178*105.3%),)</f>
        <v>17886</v>
      </c>
      <c r="K178" s="104">
        <f aca="true" t="shared" si="27" ref="K178:K185">F178</f>
        <v>35</v>
      </c>
      <c r="L178" s="87">
        <f t="shared" si="18"/>
        <v>18798</v>
      </c>
    </row>
    <row r="179" spans="1:12" ht="12.75">
      <c r="A179" s="100"/>
      <c r="B179" s="101" t="s">
        <v>344</v>
      </c>
      <c r="C179" s="101" t="s">
        <v>230</v>
      </c>
      <c r="D179" s="102">
        <f>'[1] 2210,2240 за підроздіами'!E216</f>
        <v>76</v>
      </c>
      <c r="E179" s="102">
        <f t="shared" si="22"/>
        <v>80.18</v>
      </c>
      <c r="F179" s="103">
        <v>9</v>
      </c>
      <c r="G179" s="87">
        <f t="shared" si="23"/>
        <v>2281</v>
      </c>
      <c r="H179" s="88">
        <f t="shared" si="24"/>
        <v>722</v>
      </c>
      <c r="I179" s="104">
        <f t="shared" si="25"/>
        <v>9</v>
      </c>
      <c r="J179" s="87">
        <f t="shared" si="26"/>
        <v>760</v>
      </c>
      <c r="K179" s="104">
        <f t="shared" si="27"/>
        <v>9</v>
      </c>
      <c r="L179" s="87">
        <f t="shared" si="18"/>
        <v>799</v>
      </c>
    </row>
    <row r="180" spans="1:12" ht="12.75">
      <c r="A180" s="100"/>
      <c r="B180" s="101" t="s">
        <v>345</v>
      </c>
      <c r="C180" s="101" t="s">
        <v>230</v>
      </c>
      <c r="D180" s="102">
        <v>120</v>
      </c>
      <c r="E180" s="102">
        <f t="shared" si="22"/>
        <v>126.6</v>
      </c>
      <c r="F180" s="103">
        <v>10</v>
      </c>
      <c r="G180" s="87">
        <f t="shared" si="23"/>
        <v>4000</v>
      </c>
      <c r="H180" s="88">
        <f t="shared" si="24"/>
        <v>1266</v>
      </c>
      <c r="I180" s="104">
        <f t="shared" si="25"/>
        <v>10</v>
      </c>
      <c r="J180" s="87">
        <f t="shared" si="26"/>
        <v>1333</v>
      </c>
      <c r="K180" s="103">
        <f>F180</f>
        <v>10</v>
      </c>
      <c r="L180" s="87">
        <f t="shared" si="18"/>
        <v>1401</v>
      </c>
    </row>
    <row r="181" spans="1:12" ht="12.75">
      <c r="A181" s="100"/>
      <c r="B181" s="101" t="s">
        <v>346</v>
      </c>
      <c r="C181" s="101" t="s">
        <v>230</v>
      </c>
      <c r="D181" s="102">
        <f>'[1] 2210,2240 за підроздіами'!E219</f>
        <v>300</v>
      </c>
      <c r="E181" s="102">
        <f t="shared" si="22"/>
        <v>316.5</v>
      </c>
      <c r="F181" s="103">
        <f>'[1] 2210,2240 за підроздіами'!F219</f>
        <v>2</v>
      </c>
      <c r="G181" s="87">
        <f t="shared" si="23"/>
        <v>2001</v>
      </c>
      <c r="H181" s="88">
        <f t="shared" si="24"/>
        <v>633</v>
      </c>
      <c r="I181" s="104">
        <f t="shared" si="25"/>
        <v>2</v>
      </c>
      <c r="J181" s="87">
        <f t="shared" si="26"/>
        <v>667</v>
      </c>
      <c r="K181" s="104">
        <f t="shared" si="27"/>
        <v>2</v>
      </c>
      <c r="L181" s="87">
        <f t="shared" si="18"/>
        <v>701</v>
      </c>
    </row>
    <row r="182" spans="1:12" ht="12.75">
      <c r="A182" s="100"/>
      <c r="B182" s="101" t="s">
        <v>347</v>
      </c>
      <c r="C182" s="101" t="s">
        <v>230</v>
      </c>
      <c r="D182" s="102">
        <f>'[1] 2210,2240 за підроздіами'!E221</f>
        <v>200</v>
      </c>
      <c r="E182" s="102">
        <f t="shared" si="22"/>
        <v>211</v>
      </c>
      <c r="F182" s="103">
        <v>15</v>
      </c>
      <c r="G182" s="87">
        <f t="shared" si="23"/>
        <v>44691</v>
      </c>
      <c r="H182" s="88">
        <f t="shared" si="24"/>
        <v>3165</v>
      </c>
      <c r="I182" s="104">
        <f>F182*3</f>
        <v>45</v>
      </c>
      <c r="J182" s="87">
        <f>ROUND((H182*105.3%),)*3</f>
        <v>9999</v>
      </c>
      <c r="K182" s="104">
        <f>F182*3</f>
        <v>45</v>
      </c>
      <c r="L182" s="87">
        <f>ROUND((J182*105.1%),)*3</f>
        <v>31527</v>
      </c>
    </row>
    <row r="183" spans="1:12" ht="12.75">
      <c r="A183" s="100"/>
      <c r="B183" s="101" t="s">
        <v>348</v>
      </c>
      <c r="C183" s="101" t="s">
        <v>230</v>
      </c>
      <c r="D183" s="102">
        <f>'[1] 2210,2240 за підроздіами'!E224</f>
        <v>117</v>
      </c>
      <c r="E183" s="102">
        <f t="shared" si="22"/>
        <v>123.44</v>
      </c>
      <c r="F183" s="103">
        <v>20</v>
      </c>
      <c r="G183" s="87">
        <f t="shared" si="23"/>
        <v>7802</v>
      </c>
      <c r="H183" s="88">
        <f t="shared" si="24"/>
        <v>2469</v>
      </c>
      <c r="I183" s="104">
        <f t="shared" si="25"/>
        <v>20</v>
      </c>
      <c r="J183" s="87">
        <f t="shared" si="26"/>
        <v>2600</v>
      </c>
      <c r="K183" s="104">
        <f t="shared" si="27"/>
        <v>20</v>
      </c>
      <c r="L183" s="87">
        <f t="shared" si="18"/>
        <v>2733</v>
      </c>
    </row>
    <row r="184" spans="1:12" ht="12.75">
      <c r="A184" s="100"/>
      <c r="B184" s="101" t="s">
        <v>349</v>
      </c>
      <c r="C184" s="101" t="s">
        <v>230</v>
      </c>
      <c r="D184" s="102">
        <f>'[1] 2210,2240 за підроздіами'!E225</f>
        <v>150</v>
      </c>
      <c r="E184" s="102">
        <f t="shared" si="22"/>
        <v>158.25</v>
      </c>
      <c r="F184" s="103">
        <v>25</v>
      </c>
      <c r="G184" s="87">
        <f t="shared" si="23"/>
        <v>12500</v>
      </c>
      <c r="H184" s="88">
        <f t="shared" si="24"/>
        <v>3956</v>
      </c>
      <c r="I184" s="104">
        <f t="shared" si="25"/>
        <v>25</v>
      </c>
      <c r="J184" s="87">
        <f t="shared" si="26"/>
        <v>4166</v>
      </c>
      <c r="K184" s="104">
        <f t="shared" si="27"/>
        <v>25</v>
      </c>
      <c r="L184" s="87">
        <f t="shared" si="18"/>
        <v>4378</v>
      </c>
    </row>
    <row r="185" spans="1:12" ht="12.75">
      <c r="A185" s="100"/>
      <c r="B185" s="101" t="s">
        <v>350</v>
      </c>
      <c r="C185" s="266" t="s">
        <v>230</v>
      </c>
      <c r="D185" s="102">
        <f>'[1] 2210,2240 за підроздіами'!E227</f>
        <v>70</v>
      </c>
      <c r="E185" s="102">
        <f t="shared" si="22"/>
        <v>73.85</v>
      </c>
      <c r="F185" s="103">
        <v>2</v>
      </c>
      <c r="G185" s="87">
        <f t="shared" si="23"/>
        <v>468</v>
      </c>
      <c r="H185" s="88">
        <f t="shared" si="24"/>
        <v>148</v>
      </c>
      <c r="I185" s="104">
        <f t="shared" si="25"/>
        <v>2</v>
      </c>
      <c r="J185" s="87">
        <f t="shared" si="26"/>
        <v>156</v>
      </c>
      <c r="K185" s="104">
        <f t="shared" si="27"/>
        <v>2</v>
      </c>
      <c r="L185" s="87">
        <f t="shared" si="18"/>
        <v>164</v>
      </c>
    </row>
    <row r="186" spans="1:12" ht="12.75">
      <c r="A186" s="100"/>
      <c r="B186" s="266" t="s">
        <v>342</v>
      </c>
      <c r="C186" s="267" t="s">
        <v>230</v>
      </c>
      <c r="D186" s="102">
        <v>900</v>
      </c>
      <c r="E186" s="102"/>
      <c r="F186" s="103"/>
      <c r="G186" s="87">
        <f>J186+L186</f>
        <v>54031.33333333333</v>
      </c>
      <c r="H186" s="88"/>
      <c r="I186" s="104">
        <v>12</v>
      </c>
      <c r="J186" s="87">
        <f>ROUND((D186*105.5%*105.3%*I186),)</f>
        <v>11998</v>
      </c>
      <c r="K186" s="104">
        <v>40</v>
      </c>
      <c r="L186" s="87">
        <f>ROUND((J186*105.1%),)/12*K186</f>
        <v>42033.33333333333</v>
      </c>
    </row>
    <row r="187" spans="1:12" ht="12.75">
      <c r="A187" s="100"/>
      <c r="B187" s="266" t="s">
        <v>546</v>
      </c>
      <c r="C187" s="267" t="s">
        <v>230</v>
      </c>
      <c r="D187" s="102">
        <v>4800</v>
      </c>
      <c r="E187" s="102"/>
      <c r="F187" s="103"/>
      <c r="G187" s="87">
        <f>J187+L187</f>
        <v>288162.3333333333</v>
      </c>
      <c r="H187" s="88"/>
      <c r="I187" s="104">
        <v>12</v>
      </c>
      <c r="J187" s="87">
        <f>ROUND((D187*105.5%*105.3%*I187),)</f>
        <v>63989</v>
      </c>
      <c r="K187" s="104">
        <v>40</v>
      </c>
      <c r="L187" s="87">
        <f>ROUND((J187*105.1%),)/12*K187</f>
        <v>224173.3333333333</v>
      </c>
    </row>
    <row r="188" spans="1:12" ht="12.75">
      <c r="A188" s="100"/>
      <c r="B188" s="266" t="s">
        <v>547</v>
      </c>
      <c r="C188" s="267" t="s">
        <v>230</v>
      </c>
      <c r="D188" s="102">
        <v>5500</v>
      </c>
      <c r="E188" s="102"/>
      <c r="F188" s="103"/>
      <c r="G188" s="87">
        <f>J188+L188</f>
        <v>330183.3333333333</v>
      </c>
      <c r="H188" s="88"/>
      <c r="I188" s="104">
        <v>12</v>
      </c>
      <c r="J188" s="87">
        <f>ROUND((D188*105.5%*105.3%*I188),)</f>
        <v>73320</v>
      </c>
      <c r="K188" s="104">
        <v>40</v>
      </c>
      <c r="L188" s="87">
        <f>ROUND((J188*105.1%),)/12*K188</f>
        <v>256863.3333333333</v>
      </c>
    </row>
    <row r="189" spans="1:12" ht="12.75">
      <c r="A189" s="94"/>
      <c r="B189" s="118" t="s">
        <v>351</v>
      </c>
      <c r="C189" s="119"/>
      <c r="D189" s="119"/>
      <c r="E189" s="119"/>
      <c r="F189" s="117"/>
      <c r="G189" s="117">
        <f>SUM(G190:G219)</f>
        <v>52508</v>
      </c>
      <c r="H189" s="117">
        <f>SUM(H190:H219)</f>
        <v>15771</v>
      </c>
      <c r="I189" s="117"/>
      <c r="J189" s="117">
        <f>SUM(J190:J219)</f>
        <v>16606</v>
      </c>
      <c r="K189" s="117"/>
      <c r="L189" s="117">
        <f>SUM(L190:L219)</f>
        <v>20131</v>
      </c>
    </row>
    <row r="190" spans="1:12" ht="12.75">
      <c r="A190" s="100"/>
      <c r="B190" s="101" t="s">
        <v>352</v>
      </c>
      <c r="C190" s="101" t="s">
        <v>230</v>
      </c>
      <c r="D190" s="102">
        <f>'[1] 2210,2240 за підроздіами'!E229</f>
        <v>18</v>
      </c>
      <c r="E190" s="102">
        <f aca="true" t="shared" si="28" ref="E190:E216">ROUND((D190*105.5%),2)</f>
        <v>18.99</v>
      </c>
      <c r="F190" s="103">
        <f>'[1] 2210,2240 за підроздіами'!F229</f>
        <v>2</v>
      </c>
      <c r="G190" s="87">
        <f aca="true" t="shared" si="29" ref="G190:G219">SUM(L190+J190+H190)</f>
        <v>120</v>
      </c>
      <c r="H190" s="88">
        <f aca="true" t="shared" si="30" ref="H190:H216">ROUND((E190*F190),)</f>
        <v>38</v>
      </c>
      <c r="I190" s="104">
        <f aca="true" t="shared" si="31" ref="I190:I219">F190</f>
        <v>2</v>
      </c>
      <c r="J190" s="87">
        <f aca="true" t="shared" si="32" ref="J190:J216">ROUND((H190*105.3%),)</f>
        <v>40</v>
      </c>
      <c r="K190" s="104">
        <f aca="true" t="shared" si="33" ref="K190:K219">F190</f>
        <v>2</v>
      </c>
      <c r="L190" s="87">
        <f t="shared" si="18"/>
        <v>42</v>
      </c>
    </row>
    <row r="191" spans="1:12" ht="12.75">
      <c r="A191" s="100"/>
      <c r="B191" s="101" t="s">
        <v>353</v>
      </c>
      <c r="C191" s="101" t="s">
        <v>230</v>
      </c>
      <c r="D191" s="102">
        <f>'[1] 2210,2240 за підроздіами'!E231</f>
        <v>72</v>
      </c>
      <c r="E191" s="102">
        <f t="shared" si="28"/>
        <v>75.96</v>
      </c>
      <c r="F191" s="103">
        <v>2</v>
      </c>
      <c r="G191" s="87">
        <f t="shared" si="29"/>
        <v>480</v>
      </c>
      <c r="H191" s="88">
        <f t="shared" si="30"/>
        <v>152</v>
      </c>
      <c r="I191" s="104">
        <f t="shared" si="31"/>
        <v>2</v>
      </c>
      <c r="J191" s="87">
        <f t="shared" si="32"/>
        <v>160</v>
      </c>
      <c r="K191" s="104">
        <f t="shared" si="33"/>
        <v>2</v>
      </c>
      <c r="L191" s="87">
        <f t="shared" si="18"/>
        <v>168</v>
      </c>
    </row>
    <row r="192" spans="1:12" ht="12.75">
      <c r="A192" s="100"/>
      <c r="B192" s="101" t="s">
        <v>354</v>
      </c>
      <c r="C192" s="101" t="s">
        <v>230</v>
      </c>
      <c r="D192" s="102">
        <f>'[1] 2210,2240 за підроздіами'!E235</f>
        <v>30</v>
      </c>
      <c r="E192" s="102">
        <f t="shared" si="28"/>
        <v>31.65</v>
      </c>
      <c r="F192" s="103">
        <v>5</v>
      </c>
      <c r="G192" s="87">
        <f t="shared" si="29"/>
        <v>498</v>
      </c>
      <c r="H192" s="88">
        <f t="shared" si="30"/>
        <v>158</v>
      </c>
      <c r="I192" s="104">
        <f t="shared" si="31"/>
        <v>5</v>
      </c>
      <c r="J192" s="87">
        <f t="shared" si="32"/>
        <v>166</v>
      </c>
      <c r="K192" s="104">
        <f t="shared" si="33"/>
        <v>5</v>
      </c>
      <c r="L192" s="87">
        <f t="shared" si="18"/>
        <v>174</v>
      </c>
    </row>
    <row r="193" spans="1:12" ht="12.75">
      <c r="A193" s="100"/>
      <c r="B193" s="101" t="s">
        <v>355</v>
      </c>
      <c r="C193" s="101" t="s">
        <v>230</v>
      </c>
      <c r="D193" s="102">
        <f>'[1] 2210,2240 за підроздіами'!E237</f>
        <v>230</v>
      </c>
      <c r="E193" s="102">
        <f t="shared" si="28"/>
        <v>242.65</v>
      </c>
      <c r="F193" s="103">
        <v>3</v>
      </c>
      <c r="G193" s="87">
        <f t="shared" si="29"/>
        <v>2301</v>
      </c>
      <c r="H193" s="88">
        <f t="shared" si="30"/>
        <v>728</v>
      </c>
      <c r="I193" s="104">
        <f t="shared" si="31"/>
        <v>3</v>
      </c>
      <c r="J193" s="87">
        <f t="shared" si="32"/>
        <v>767</v>
      </c>
      <c r="K193" s="104">
        <f t="shared" si="33"/>
        <v>3</v>
      </c>
      <c r="L193" s="87">
        <f t="shared" si="18"/>
        <v>806</v>
      </c>
    </row>
    <row r="194" spans="1:12" ht="12.75">
      <c r="A194" s="100"/>
      <c r="B194" s="101" t="s">
        <v>356</v>
      </c>
      <c r="C194" s="101" t="s">
        <v>230</v>
      </c>
      <c r="D194" s="102">
        <f>'[1] 2210,2240 за підроздіами'!E238</f>
        <v>900</v>
      </c>
      <c r="E194" s="102">
        <f t="shared" si="28"/>
        <v>949.5</v>
      </c>
      <c r="F194" s="103">
        <f>'[1] 2210,2240 за підроздіами'!F238</f>
        <v>1</v>
      </c>
      <c r="G194" s="87">
        <f t="shared" si="29"/>
        <v>3001</v>
      </c>
      <c r="H194" s="88">
        <f t="shared" si="30"/>
        <v>950</v>
      </c>
      <c r="I194" s="104">
        <f t="shared" si="31"/>
        <v>1</v>
      </c>
      <c r="J194" s="87">
        <f t="shared" si="32"/>
        <v>1000</v>
      </c>
      <c r="K194" s="104">
        <f t="shared" si="33"/>
        <v>1</v>
      </c>
      <c r="L194" s="87">
        <f t="shared" si="18"/>
        <v>1051</v>
      </c>
    </row>
    <row r="195" spans="1:12" ht="12.75">
      <c r="A195" s="100"/>
      <c r="B195" s="101" t="s">
        <v>357</v>
      </c>
      <c r="C195" s="101" t="s">
        <v>230</v>
      </c>
      <c r="D195" s="102">
        <f>'[1] 2210,2240 за підроздіами'!E239</f>
        <v>1200</v>
      </c>
      <c r="E195" s="102">
        <f t="shared" si="28"/>
        <v>1266</v>
      </c>
      <c r="F195" s="103">
        <f>'[1] 2210,2240 за підроздіами'!F239</f>
        <v>1</v>
      </c>
      <c r="G195" s="87">
        <f t="shared" si="29"/>
        <v>4000</v>
      </c>
      <c r="H195" s="88">
        <f t="shared" si="30"/>
        <v>1266</v>
      </c>
      <c r="I195" s="104">
        <f t="shared" si="31"/>
        <v>1</v>
      </c>
      <c r="J195" s="87">
        <f t="shared" si="32"/>
        <v>1333</v>
      </c>
      <c r="K195" s="104">
        <f t="shared" si="33"/>
        <v>1</v>
      </c>
      <c r="L195" s="87">
        <f t="shared" si="18"/>
        <v>1401</v>
      </c>
    </row>
    <row r="196" spans="1:12" ht="12.75">
      <c r="A196" s="100"/>
      <c r="B196" s="101" t="s">
        <v>358</v>
      </c>
      <c r="C196" s="101" t="s">
        <v>230</v>
      </c>
      <c r="D196" s="102">
        <f>'[1] 2210,2240 за підроздіами'!E240</f>
        <v>1200</v>
      </c>
      <c r="E196" s="102">
        <f t="shared" si="28"/>
        <v>1266</v>
      </c>
      <c r="F196" s="103">
        <f>'[1] 2210,2240 за підроздіами'!F240</f>
        <v>1</v>
      </c>
      <c r="G196" s="87">
        <f t="shared" si="29"/>
        <v>4000</v>
      </c>
      <c r="H196" s="88">
        <f t="shared" si="30"/>
        <v>1266</v>
      </c>
      <c r="I196" s="104">
        <f t="shared" si="31"/>
        <v>1</v>
      </c>
      <c r="J196" s="87">
        <f t="shared" si="32"/>
        <v>1333</v>
      </c>
      <c r="K196" s="104">
        <f t="shared" si="33"/>
        <v>1</v>
      </c>
      <c r="L196" s="87">
        <f t="shared" si="18"/>
        <v>1401</v>
      </c>
    </row>
    <row r="197" spans="1:12" ht="12.75">
      <c r="A197" s="100"/>
      <c r="B197" s="101" t="s">
        <v>359</v>
      </c>
      <c r="C197" s="101" t="s">
        <v>230</v>
      </c>
      <c r="D197" s="102">
        <f>'[1] 2210,2240 за підроздіами'!E243</f>
        <v>500</v>
      </c>
      <c r="E197" s="102">
        <f t="shared" si="28"/>
        <v>527.5</v>
      </c>
      <c r="F197" s="103">
        <v>1</v>
      </c>
      <c r="G197" s="87">
        <f t="shared" si="29"/>
        <v>1668</v>
      </c>
      <c r="H197" s="88">
        <f t="shared" si="30"/>
        <v>528</v>
      </c>
      <c r="I197" s="104">
        <f t="shared" si="31"/>
        <v>1</v>
      </c>
      <c r="J197" s="87">
        <f t="shared" si="32"/>
        <v>556</v>
      </c>
      <c r="K197" s="104">
        <f t="shared" si="33"/>
        <v>1</v>
      </c>
      <c r="L197" s="87">
        <f t="shared" si="18"/>
        <v>584</v>
      </c>
    </row>
    <row r="198" spans="1:12" ht="12.75">
      <c r="A198" s="100"/>
      <c r="B198" s="101" t="s">
        <v>360</v>
      </c>
      <c r="C198" s="101" t="s">
        <v>230</v>
      </c>
      <c r="D198" s="102">
        <f>'[1] 2210,2240 за підроздіами'!E247</f>
        <v>38</v>
      </c>
      <c r="E198" s="102">
        <f t="shared" si="28"/>
        <v>40.09</v>
      </c>
      <c r="F198" s="103">
        <v>5</v>
      </c>
      <c r="G198" s="87">
        <f t="shared" si="29"/>
        <v>633</v>
      </c>
      <c r="H198" s="88">
        <f t="shared" si="30"/>
        <v>200</v>
      </c>
      <c r="I198" s="104">
        <f t="shared" si="31"/>
        <v>5</v>
      </c>
      <c r="J198" s="87">
        <f t="shared" si="32"/>
        <v>211</v>
      </c>
      <c r="K198" s="104">
        <f t="shared" si="33"/>
        <v>5</v>
      </c>
      <c r="L198" s="87">
        <f aca="true" t="shared" si="34" ref="L198:L216">ROUND((J198*105.1%),)</f>
        <v>222</v>
      </c>
    </row>
    <row r="199" spans="1:12" ht="12.75">
      <c r="A199" s="100"/>
      <c r="B199" s="101" t="s">
        <v>361</v>
      </c>
      <c r="C199" s="101" t="s">
        <v>230</v>
      </c>
      <c r="D199" s="102">
        <f>'[1] 2210,2240 за підроздіами'!E249</f>
        <v>32</v>
      </c>
      <c r="E199" s="102">
        <f t="shared" si="28"/>
        <v>33.76</v>
      </c>
      <c r="F199" s="103">
        <v>40</v>
      </c>
      <c r="G199" s="87">
        <f t="shared" si="29"/>
        <v>4267</v>
      </c>
      <c r="H199" s="88">
        <f t="shared" si="30"/>
        <v>1350</v>
      </c>
      <c r="I199" s="104">
        <f t="shared" si="31"/>
        <v>40</v>
      </c>
      <c r="J199" s="87">
        <f t="shared" si="32"/>
        <v>1422</v>
      </c>
      <c r="K199" s="104">
        <f t="shared" si="33"/>
        <v>40</v>
      </c>
      <c r="L199" s="87">
        <f t="shared" si="34"/>
        <v>1495</v>
      </c>
    </row>
    <row r="200" spans="1:12" ht="12.75">
      <c r="A200" s="100"/>
      <c r="B200" s="101" t="s">
        <v>362</v>
      </c>
      <c r="C200" s="101" t="s">
        <v>230</v>
      </c>
      <c r="D200" s="102">
        <f>'[1] 2210,2240 за підроздіами'!E250</f>
        <v>240</v>
      </c>
      <c r="E200" s="102">
        <f t="shared" si="28"/>
        <v>253.2</v>
      </c>
      <c r="F200" s="103">
        <v>10</v>
      </c>
      <c r="G200" s="87">
        <f t="shared" si="29"/>
        <v>8000</v>
      </c>
      <c r="H200" s="88">
        <f t="shared" si="30"/>
        <v>2532</v>
      </c>
      <c r="I200" s="104">
        <f t="shared" si="31"/>
        <v>10</v>
      </c>
      <c r="J200" s="87">
        <f t="shared" si="32"/>
        <v>2666</v>
      </c>
      <c r="K200" s="104">
        <f t="shared" si="33"/>
        <v>10</v>
      </c>
      <c r="L200" s="87">
        <f t="shared" si="34"/>
        <v>2802</v>
      </c>
    </row>
    <row r="201" spans="1:12" ht="12.75">
      <c r="A201" s="100"/>
      <c r="B201" s="101" t="s">
        <v>363</v>
      </c>
      <c r="C201" s="101" t="s">
        <v>230</v>
      </c>
      <c r="D201" s="102">
        <f>'[1] 2210,2240 за підроздіами'!E251</f>
        <v>120</v>
      </c>
      <c r="E201" s="102">
        <f t="shared" si="28"/>
        <v>126.6</v>
      </c>
      <c r="F201" s="103">
        <v>2</v>
      </c>
      <c r="G201" s="87">
        <f t="shared" si="29"/>
        <v>799</v>
      </c>
      <c r="H201" s="88">
        <f t="shared" si="30"/>
        <v>253</v>
      </c>
      <c r="I201" s="104">
        <f t="shared" si="31"/>
        <v>2</v>
      </c>
      <c r="J201" s="87">
        <f t="shared" si="32"/>
        <v>266</v>
      </c>
      <c r="K201" s="104">
        <f t="shared" si="33"/>
        <v>2</v>
      </c>
      <c r="L201" s="87">
        <f t="shared" si="34"/>
        <v>280</v>
      </c>
    </row>
    <row r="202" spans="1:12" ht="12.75">
      <c r="A202" s="100"/>
      <c r="B202" s="101" t="s">
        <v>364</v>
      </c>
      <c r="C202" s="101" t="s">
        <v>230</v>
      </c>
      <c r="D202" s="102">
        <f>'[1] 2210,2240 за підроздіами'!E252</f>
        <v>5</v>
      </c>
      <c r="E202" s="102">
        <f t="shared" si="28"/>
        <v>5.28</v>
      </c>
      <c r="F202" s="103">
        <v>68</v>
      </c>
      <c r="G202" s="87">
        <f t="shared" si="29"/>
        <v>1134</v>
      </c>
      <c r="H202" s="88">
        <f t="shared" si="30"/>
        <v>359</v>
      </c>
      <c r="I202" s="104">
        <f t="shared" si="31"/>
        <v>68</v>
      </c>
      <c r="J202" s="87">
        <f t="shared" si="32"/>
        <v>378</v>
      </c>
      <c r="K202" s="104">
        <f t="shared" si="33"/>
        <v>68</v>
      </c>
      <c r="L202" s="87">
        <f t="shared" si="34"/>
        <v>397</v>
      </c>
    </row>
    <row r="203" spans="1:12" ht="12.75">
      <c r="A203" s="100"/>
      <c r="B203" s="101" t="s">
        <v>365</v>
      </c>
      <c r="C203" s="101" t="s">
        <v>230</v>
      </c>
      <c r="D203" s="102">
        <f>'[1] 2210,2240 за підроздіами'!E253</f>
        <v>47</v>
      </c>
      <c r="E203" s="102">
        <f t="shared" si="28"/>
        <v>49.59</v>
      </c>
      <c r="F203" s="103">
        <f>'[1] 2210,2240 за підроздіами'!F253</f>
        <v>40</v>
      </c>
      <c r="G203" s="87">
        <f t="shared" si="29"/>
        <v>6269</v>
      </c>
      <c r="H203" s="88">
        <f t="shared" si="30"/>
        <v>1984</v>
      </c>
      <c r="I203" s="104">
        <f t="shared" si="31"/>
        <v>40</v>
      </c>
      <c r="J203" s="87">
        <f t="shared" si="32"/>
        <v>2089</v>
      </c>
      <c r="K203" s="104">
        <f t="shared" si="33"/>
        <v>40</v>
      </c>
      <c r="L203" s="87">
        <f t="shared" si="34"/>
        <v>2196</v>
      </c>
    </row>
    <row r="204" spans="1:12" ht="12.75">
      <c r="A204" s="100"/>
      <c r="B204" s="101" t="s">
        <v>366</v>
      </c>
      <c r="C204" s="101" t="s">
        <v>230</v>
      </c>
      <c r="D204" s="102">
        <f>'[1] 2210,2240 за підроздіами'!E255</f>
        <v>75</v>
      </c>
      <c r="E204" s="102">
        <f t="shared" si="28"/>
        <v>79.13</v>
      </c>
      <c r="F204" s="103">
        <f>'[1] 2210,2240 за підроздіами'!F255</f>
        <v>1</v>
      </c>
      <c r="G204" s="87">
        <f t="shared" si="29"/>
        <v>249</v>
      </c>
      <c r="H204" s="88">
        <f t="shared" si="30"/>
        <v>79</v>
      </c>
      <c r="I204" s="104">
        <f t="shared" si="31"/>
        <v>1</v>
      </c>
      <c r="J204" s="87">
        <f t="shared" si="32"/>
        <v>83</v>
      </c>
      <c r="K204" s="104">
        <f t="shared" si="33"/>
        <v>1</v>
      </c>
      <c r="L204" s="87">
        <f t="shared" si="34"/>
        <v>87</v>
      </c>
    </row>
    <row r="205" spans="1:12" ht="12.75">
      <c r="A205" s="100"/>
      <c r="B205" s="101" t="s">
        <v>367</v>
      </c>
      <c r="C205" s="101" t="s">
        <v>230</v>
      </c>
      <c r="D205" s="102">
        <f>'[1] 2210,2240 за підроздіами'!E256</f>
        <v>75</v>
      </c>
      <c r="E205" s="102">
        <f t="shared" si="28"/>
        <v>79.13</v>
      </c>
      <c r="F205" s="103">
        <f>'[1] 2210,2240 за підроздіами'!F256</f>
        <v>1</v>
      </c>
      <c r="G205" s="87">
        <f t="shared" si="29"/>
        <v>249</v>
      </c>
      <c r="H205" s="88">
        <f t="shared" si="30"/>
        <v>79</v>
      </c>
      <c r="I205" s="104">
        <f t="shared" si="31"/>
        <v>1</v>
      </c>
      <c r="J205" s="87">
        <f t="shared" si="32"/>
        <v>83</v>
      </c>
      <c r="K205" s="104">
        <f t="shared" si="33"/>
        <v>1</v>
      </c>
      <c r="L205" s="87">
        <f t="shared" si="34"/>
        <v>87</v>
      </c>
    </row>
    <row r="206" spans="1:12" ht="12.75">
      <c r="A206" s="100"/>
      <c r="B206" s="101" t="s">
        <v>368</v>
      </c>
      <c r="C206" s="101" t="s">
        <v>272</v>
      </c>
      <c r="D206" s="102">
        <f>'[1] 2210,2240 за підроздіами'!E259</f>
        <v>19</v>
      </c>
      <c r="E206" s="102">
        <f t="shared" si="28"/>
        <v>20.05</v>
      </c>
      <c r="F206" s="103">
        <f>'[1] 2210,2240 за підроздіами'!F259</f>
        <v>49</v>
      </c>
      <c r="G206" s="87">
        <f t="shared" si="29"/>
        <v>3103</v>
      </c>
      <c r="H206" s="88">
        <f t="shared" si="30"/>
        <v>982</v>
      </c>
      <c r="I206" s="104">
        <f t="shared" si="31"/>
        <v>49</v>
      </c>
      <c r="J206" s="87">
        <f t="shared" si="32"/>
        <v>1034</v>
      </c>
      <c r="K206" s="104">
        <f t="shared" si="33"/>
        <v>49</v>
      </c>
      <c r="L206" s="87">
        <f t="shared" si="34"/>
        <v>1087</v>
      </c>
    </row>
    <row r="207" spans="1:12" s="99" customFormat="1" ht="12.75">
      <c r="A207" s="100"/>
      <c r="B207" s="101" t="s">
        <v>369</v>
      </c>
      <c r="C207" s="101" t="s">
        <v>230</v>
      </c>
      <c r="D207" s="102">
        <f>'[1] 2210,2240 за підроздіами'!E263</f>
        <v>250</v>
      </c>
      <c r="E207" s="102">
        <f t="shared" si="28"/>
        <v>263.75</v>
      </c>
      <c r="F207" s="103">
        <f>'[1] 2210,2240 за підроздіами'!F263</f>
        <v>1</v>
      </c>
      <c r="G207" s="87">
        <f t="shared" si="29"/>
        <v>834</v>
      </c>
      <c r="H207" s="88">
        <f t="shared" si="30"/>
        <v>264</v>
      </c>
      <c r="I207" s="104">
        <f t="shared" si="31"/>
        <v>1</v>
      </c>
      <c r="J207" s="87">
        <f t="shared" si="32"/>
        <v>278</v>
      </c>
      <c r="K207" s="104">
        <f t="shared" si="33"/>
        <v>1</v>
      </c>
      <c r="L207" s="87">
        <f t="shared" si="34"/>
        <v>292</v>
      </c>
    </row>
    <row r="208" spans="1:12" ht="12.75">
      <c r="A208" s="100"/>
      <c r="B208" s="101" t="s">
        <v>370</v>
      </c>
      <c r="C208" s="101" t="s">
        <v>230</v>
      </c>
      <c r="D208" s="102">
        <f>'[1] 2210,2240 за підроздіами'!E264</f>
        <v>59</v>
      </c>
      <c r="E208" s="102">
        <f t="shared" si="28"/>
        <v>62.25</v>
      </c>
      <c r="F208" s="103">
        <f>'[1] 2210,2240 за підроздіами'!F264</f>
        <v>4</v>
      </c>
      <c r="G208" s="87">
        <f t="shared" si="29"/>
        <v>786</v>
      </c>
      <c r="H208" s="88">
        <f t="shared" si="30"/>
        <v>249</v>
      </c>
      <c r="I208" s="104">
        <f t="shared" si="31"/>
        <v>4</v>
      </c>
      <c r="J208" s="87">
        <f t="shared" si="32"/>
        <v>262</v>
      </c>
      <c r="K208" s="104">
        <f t="shared" si="33"/>
        <v>4</v>
      </c>
      <c r="L208" s="87">
        <f t="shared" si="34"/>
        <v>275</v>
      </c>
    </row>
    <row r="209" spans="1:12" ht="12.75">
      <c r="A209" s="100"/>
      <c r="B209" s="101" t="s">
        <v>371</v>
      </c>
      <c r="C209" s="101" t="s">
        <v>230</v>
      </c>
      <c r="D209" s="102">
        <f>'[1] 2210,2240 за підроздіами'!E265</f>
        <v>4</v>
      </c>
      <c r="E209" s="102">
        <f t="shared" si="28"/>
        <v>4.22</v>
      </c>
      <c r="F209" s="103">
        <v>30</v>
      </c>
      <c r="G209" s="87">
        <f t="shared" si="29"/>
        <v>3081</v>
      </c>
      <c r="H209" s="88">
        <f t="shared" si="30"/>
        <v>127</v>
      </c>
      <c r="I209" s="104">
        <f t="shared" si="31"/>
        <v>30</v>
      </c>
      <c r="J209" s="87">
        <f t="shared" si="32"/>
        <v>134</v>
      </c>
      <c r="K209" s="104">
        <f>F209*20</f>
        <v>600</v>
      </c>
      <c r="L209" s="87">
        <f>ROUND((J209*105.1%),)*20</f>
        <v>2820</v>
      </c>
    </row>
    <row r="210" spans="1:12" ht="12.75" hidden="1">
      <c r="A210" s="100"/>
      <c r="B210" s="101" t="s">
        <v>372</v>
      </c>
      <c r="C210" s="101" t="s">
        <v>373</v>
      </c>
      <c r="D210" s="102">
        <f>'[1] 2210,2240 за підроздіами'!E266</f>
        <v>312</v>
      </c>
      <c r="E210" s="102">
        <f t="shared" si="28"/>
        <v>329.16</v>
      </c>
      <c r="F210" s="103">
        <f>'[1] 2210,2240 за підроздіами'!F266</f>
        <v>0</v>
      </c>
      <c r="G210" s="87">
        <f t="shared" si="29"/>
        <v>0</v>
      </c>
      <c r="H210" s="88">
        <f t="shared" si="30"/>
        <v>0</v>
      </c>
      <c r="I210" s="104">
        <f t="shared" si="31"/>
        <v>0</v>
      </c>
      <c r="J210" s="87">
        <f t="shared" si="32"/>
        <v>0</v>
      </c>
      <c r="K210" s="104">
        <f t="shared" si="33"/>
        <v>0</v>
      </c>
      <c r="L210" s="87">
        <f t="shared" si="34"/>
        <v>0</v>
      </c>
    </row>
    <row r="211" spans="1:12" ht="12.75" hidden="1">
      <c r="A211" s="100"/>
      <c r="B211" s="101" t="s">
        <v>374</v>
      </c>
      <c r="C211" s="101" t="s">
        <v>373</v>
      </c>
      <c r="D211" s="102">
        <f>'[1] 2210,2240 за підроздіами'!E267</f>
        <v>102</v>
      </c>
      <c r="E211" s="102">
        <f t="shared" si="28"/>
        <v>107.61</v>
      </c>
      <c r="F211" s="103">
        <f>'[1] 2210,2240 за підроздіами'!F267</f>
        <v>0</v>
      </c>
      <c r="G211" s="87">
        <f t="shared" si="29"/>
        <v>0</v>
      </c>
      <c r="H211" s="88">
        <f t="shared" si="30"/>
        <v>0</v>
      </c>
      <c r="I211" s="104">
        <f t="shared" si="31"/>
        <v>0</v>
      </c>
      <c r="J211" s="87">
        <f t="shared" si="32"/>
        <v>0</v>
      </c>
      <c r="K211" s="104">
        <f t="shared" si="33"/>
        <v>0</v>
      </c>
      <c r="L211" s="87">
        <f t="shared" si="34"/>
        <v>0</v>
      </c>
    </row>
    <row r="212" spans="1:12" ht="12.75" hidden="1">
      <c r="A212" s="100"/>
      <c r="B212" s="101" t="s">
        <v>375</v>
      </c>
      <c r="C212" s="101" t="s">
        <v>373</v>
      </c>
      <c r="D212" s="102">
        <f>'[1] 2210,2240 за підроздіами'!E268</f>
        <v>80</v>
      </c>
      <c r="E212" s="102">
        <f t="shared" si="28"/>
        <v>84.4</v>
      </c>
      <c r="F212" s="103">
        <f>'[1] 2210,2240 за підроздіами'!F268</f>
        <v>0</v>
      </c>
      <c r="G212" s="87">
        <f t="shared" si="29"/>
        <v>0</v>
      </c>
      <c r="H212" s="88">
        <f t="shared" si="30"/>
        <v>0</v>
      </c>
      <c r="I212" s="104">
        <f t="shared" si="31"/>
        <v>0</v>
      </c>
      <c r="J212" s="87">
        <f t="shared" si="32"/>
        <v>0</v>
      </c>
      <c r="K212" s="104">
        <f t="shared" si="33"/>
        <v>0</v>
      </c>
      <c r="L212" s="87">
        <f t="shared" si="34"/>
        <v>0</v>
      </c>
    </row>
    <row r="213" spans="1:12" ht="12.75" hidden="1">
      <c r="A213" s="100"/>
      <c r="B213" s="101" t="s">
        <v>376</v>
      </c>
      <c r="C213" s="101" t="s">
        <v>373</v>
      </c>
      <c r="D213" s="102">
        <f>'[1] 2210,2240 за підроздіами'!E269</f>
        <v>102</v>
      </c>
      <c r="E213" s="102">
        <f t="shared" si="28"/>
        <v>107.61</v>
      </c>
      <c r="F213" s="103">
        <f>'[1] 2210,2240 за підроздіами'!F269</f>
        <v>0</v>
      </c>
      <c r="G213" s="87">
        <f t="shared" si="29"/>
        <v>0</v>
      </c>
      <c r="H213" s="88">
        <f t="shared" si="30"/>
        <v>0</v>
      </c>
      <c r="I213" s="104">
        <f t="shared" si="31"/>
        <v>0</v>
      </c>
      <c r="J213" s="87">
        <f t="shared" si="32"/>
        <v>0</v>
      </c>
      <c r="K213" s="104">
        <f t="shared" si="33"/>
        <v>0</v>
      </c>
      <c r="L213" s="87">
        <f t="shared" si="34"/>
        <v>0</v>
      </c>
    </row>
    <row r="214" spans="1:12" ht="12.75" hidden="1">
      <c r="A214" s="100"/>
      <c r="B214" s="101" t="s">
        <v>377</v>
      </c>
      <c r="C214" s="101" t="s">
        <v>373</v>
      </c>
      <c r="D214" s="102">
        <f>'[1] 2210,2240 за підроздіами'!E270</f>
        <v>102</v>
      </c>
      <c r="E214" s="102">
        <f t="shared" si="28"/>
        <v>107.61</v>
      </c>
      <c r="F214" s="103">
        <f>'[1] 2210,2240 за підроздіами'!F270</f>
        <v>0</v>
      </c>
      <c r="G214" s="87">
        <f t="shared" si="29"/>
        <v>0</v>
      </c>
      <c r="H214" s="88">
        <f t="shared" si="30"/>
        <v>0</v>
      </c>
      <c r="I214" s="104">
        <f t="shared" si="31"/>
        <v>0</v>
      </c>
      <c r="J214" s="87">
        <f t="shared" si="32"/>
        <v>0</v>
      </c>
      <c r="K214" s="104">
        <f t="shared" si="33"/>
        <v>0</v>
      </c>
      <c r="L214" s="87">
        <f t="shared" si="34"/>
        <v>0</v>
      </c>
    </row>
    <row r="215" spans="1:12" ht="12.75">
      <c r="A215" s="100"/>
      <c r="B215" s="101" t="s">
        <v>378</v>
      </c>
      <c r="C215" s="101" t="s">
        <v>379</v>
      </c>
      <c r="D215" s="102">
        <f>'[1] 2210,2240 за підроздіами'!E271</f>
        <v>16</v>
      </c>
      <c r="E215" s="102">
        <f t="shared" si="28"/>
        <v>16.88</v>
      </c>
      <c r="F215" s="103">
        <v>60</v>
      </c>
      <c r="G215" s="87">
        <f t="shared" si="29"/>
        <v>3201</v>
      </c>
      <c r="H215" s="88">
        <f t="shared" si="30"/>
        <v>1013</v>
      </c>
      <c r="I215" s="104">
        <f t="shared" si="31"/>
        <v>60</v>
      </c>
      <c r="J215" s="87">
        <f t="shared" si="32"/>
        <v>1067</v>
      </c>
      <c r="K215" s="104">
        <f t="shared" si="33"/>
        <v>60</v>
      </c>
      <c r="L215" s="87">
        <f t="shared" si="34"/>
        <v>1121</v>
      </c>
    </row>
    <row r="216" spans="1:12" ht="12.75">
      <c r="A216" s="100"/>
      <c r="B216" s="101" t="s">
        <v>380</v>
      </c>
      <c r="C216" s="101" t="s">
        <v>272</v>
      </c>
      <c r="D216" s="102">
        <f>'[1] 2210,2240 за підроздіами'!E272</f>
        <v>23</v>
      </c>
      <c r="E216" s="102">
        <f t="shared" si="28"/>
        <v>24.27</v>
      </c>
      <c r="F216" s="103">
        <v>50</v>
      </c>
      <c r="G216" s="87">
        <f t="shared" si="29"/>
        <v>3835</v>
      </c>
      <c r="H216" s="88">
        <f t="shared" si="30"/>
        <v>1214</v>
      </c>
      <c r="I216" s="104">
        <f t="shared" si="31"/>
        <v>50</v>
      </c>
      <c r="J216" s="87">
        <f t="shared" si="32"/>
        <v>1278</v>
      </c>
      <c r="K216" s="104">
        <f t="shared" si="33"/>
        <v>50</v>
      </c>
      <c r="L216" s="87">
        <f t="shared" si="34"/>
        <v>1343</v>
      </c>
    </row>
    <row r="217" spans="1:12" ht="12.75">
      <c r="A217" s="100"/>
      <c r="B217" s="101" t="s">
        <v>381</v>
      </c>
      <c r="C217" s="101" t="s">
        <v>382</v>
      </c>
      <c r="D217" s="102">
        <f>'[1] 2210,2240 за підроздіами'!E274</f>
        <v>16.8</v>
      </c>
      <c r="E217" s="102">
        <f>ROUND((D217*1.106),2)</f>
        <v>18.58</v>
      </c>
      <c r="F217" s="103">
        <f>'[1] 2210,2240 за підроздіами'!F274</f>
        <v>0</v>
      </c>
      <c r="G217" s="87">
        <f t="shared" si="29"/>
        <v>0</v>
      </c>
      <c r="H217" s="88">
        <f>D217*F217</f>
        <v>0</v>
      </c>
      <c r="I217" s="104">
        <f t="shared" si="31"/>
        <v>0</v>
      </c>
      <c r="J217" s="87">
        <f>H217*105.7%</f>
        <v>0</v>
      </c>
      <c r="K217" s="104">
        <f t="shared" si="33"/>
        <v>0</v>
      </c>
      <c r="L217" s="87">
        <f>J217*105.3%</f>
        <v>0</v>
      </c>
    </row>
    <row r="218" spans="1:12" ht="12.75">
      <c r="A218" s="100"/>
      <c r="B218" s="101" t="s">
        <v>383</v>
      </c>
      <c r="C218" s="101" t="s">
        <v>230</v>
      </c>
      <c r="D218" s="102">
        <f>'[1] 2210,2240 за підроздіами'!E275</f>
        <v>16</v>
      </c>
      <c r="E218" s="102">
        <f>ROUND((D218*1.106),2)</f>
        <v>17.7</v>
      </c>
      <c r="F218" s="103">
        <f>'[1] 2210,2240 за підроздіами'!F275</f>
        <v>0</v>
      </c>
      <c r="G218" s="87">
        <f t="shared" si="29"/>
        <v>0</v>
      </c>
      <c r="H218" s="88">
        <f>D218*F218</f>
        <v>0</v>
      </c>
      <c r="I218" s="104">
        <f t="shared" si="31"/>
        <v>0</v>
      </c>
      <c r="J218" s="87">
        <f>H218*105.7%</f>
        <v>0</v>
      </c>
      <c r="K218" s="104">
        <f t="shared" si="33"/>
        <v>0</v>
      </c>
      <c r="L218" s="87">
        <f>J218*105.3%</f>
        <v>0</v>
      </c>
    </row>
    <row r="219" spans="1:12" ht="12.75">
      <c r="A219" s="100"/>
      <c r="B219" s="101" t="s">
        <v>384</v>
      </c>
      <c r="C219" s="101" t="s">
        <v>230</v>
      </c>
      <c r="D219" s="102">
        <f>'[1] 2210,2240 за підроздіами'!E276</f>
        <v>22</v>
      </c>
      <c r="E219" s="102">
        <f>ROUND((D219*1.106),2)</f>
        <v>24.33</v>
      </c>
      <c r="F219" s="103">
        <f>'[1] 2210,2240 за підроздіами'!F276</f>
        <v>0</v>
      </c>
      <c r="G219" s="87">
        <f t="shared" si="29"/>
        <v>0</v>
      </c>
      <c r="H219" s="88">
        <f>D219*F219</f>
        <v>0</v>
      </c>
      <c r="I219" s="104">
        <f t="shared" si="31"/>
        <v>0</v>
      </c>
      <c r="J219" s="87">
        <f>H219*105.7%</f>
        <v>0</v>
      </c>
      <c r="K219" s="104">
        <f t="shared" si="33"/>
        <v>0</v>
      </c>
      <c r="L219" s="87">
        <f>J219*105.3%</f>
        <v>0</v>
      </c>
    </row>
    <row r="220" spans="1:12" ht="12.75">
      <c r="A220" s="94"/>
      <c r="B220" s="112" t="s">
        <v>385</v>
      </c>
      <c r="C220" s="96"/>
      <c r="D220" s="97"/>
      <c r="E220" s="97"/>
      <c r="F220" s="117"/>
      <c r="G220" s="120">
        <f>SUM(G221:G231)</f>
        <v>302871</v>
      </c>
      <c r="H220" s="120">
        <f>SUM(H221:H231)</f>
        <v>10762</v>
      </c>
      <c r="I220" s="120"/>
      <c r="J220" s="120">
        <f>SUM(J221:J231)</f>
        <v>142422</v>
      </c>
      <c r="K220" s="120"/>
      <c r="L220" s="120">
        <f>SUM(L221:L231)</f>
        <v>149687</v>
      </c>
    </row>
    <row r="221" spans="1:12" ht="12.75">
      <c r="A221" s="100"/>
      <c r="B221" s="101" t="s">
        <v>386</v>
      </c>
      <c r="C221" s="101" t="s">
        <v>312</v>
      </c>
      <c r="D221" s="121">
        <f>'[1] 2210,2240 за підроздіами'!E280</f>
        <v>1200</v>
      </c>
      <c r="E221" s="102">
        <f aca="true" t="shared" si="35" ref="E221:E231">ROUND((D221*105.5%),2)</f>
        <v>1266</v>
      </c>
      <c r="F221" s="122">
        <f>'[1] 2210,2240 за підроздіами'!F280</f>
        <v>7</v>
      </c>
      <c r="G221" s="87">
        <f aca="true" t="shared" si="36" ref="G221:G231">SUM(L221+J221+H221)</f>
        <v>28002</v>
      </c>
      <c r="H221" s="88">
        <f aca="true" t="shared" si="37" ref="H221:H231">ROUND((E221*F221),)</f>
        <v>8862</v>
      </c>
      <c r="I221" s="104">
        <f>F221</f>
        <v>7</v>
      </c>
      <c r="J221" s="87">
        <f>ROUND((H221*105.3%),)</f>
        <v>9332</v>
      </c>
      <c r="K221" s="104">
        <f>F221</f>
        <v>7</v>
      </c>
      <c r="L221" s="87">
        <f aca="true" t="shared" si="38" ref="L221:L231">ROUND((J221*105.1%),)</f>
        <v>9808</v>
      </c>
    </row>
    <row r="222" spans="1:12" ht="12.75">
      <c r="A222" s="100"/>
      <c r="B222" s="101" t="s">
        <v>387</v>
      </c>
      <c r="C222" s="101" t="s">
        <v>230</v>
      </c>
      <c r="D222" s="121">
        <f>'[1] 2210,2240 за підроздіами'!E281</f>
        <v>1100</v>
      </c>
      <c r="E222" s="102">
        <f t="shared" si="35"/>
        <v>1160.5</v>
      </c>
      <c r="F222" s="122">
        <v>1</v>
      </c>
      <c r="G222" s="87">
        <f t="shared" si="36"/>
        <v>3669</v>
      </c>
      <c r="H222" s="88">
        <f t="shared" si="37"/>
        <v>1161</v>
      </c>
      <c r="I222" s="104">
        <f>F222</f>
        <v>1</v>
      </c>
      <c r="J222" s="87">
        <f>ROUND((H222*105.3%),)</f>
        <v>1223</v>
      </c>
      <c r="K222" s="104">
        <f>F222</f>
        <v>1</v>
      </c>
      <c r="L222" s="87">
        <f t="shared" si="38"/>
        <v>1285</v>
      </c>
    </row>
    <row r="223" spans="1:12" ht="12.75">
      <c r="A223" s="100"/>
      <c r="B223" s="101" t="s">
        <v>388</v>
      </c>
      <c r="C223" s="101" t="s">
        <v>230</v>
      </c>
      <c r="D223" s="121">
        <f>'[1] 2210,2240 за підроздіами'!E287</f>
        <v>700</v>
      </c>
      <c r="E223" s="102">
        <f t="shared" si="35"/>
        <v>738.5</v>
      </c>
      <c r="F223" s="122">
        <f>'[1] 2210,2240 за підроздіами'!F287</f>
        <v>1</v>
      </c>
      <c r="G223" s="87">
        <f t="shared" si="36"/>
        <v>2335</v>
      </c>
      <c r="H223" s="88">
        <f t="shared" si="37"/>
        <v>739</v>
      </c>
      <c r="I223" s="104">
        <f>F223</f>
        <v>1</v>
      </c>
      <c r="J223" s="87">
        <f>ROUND((H223*105.3%),)</f>
        <v>778</v>
      </c>
      <c r="K223" s="104">
        <f>F223</f>
        <v>1</v>
      </c>
      <c r="L223" s="87">
        <f t="shared" si="38"/>
        <v>818</v>
      </c>
    </row>
    <row r="224" spans="1:12" ht="12.75">
      <c r="A224" s="100"/>
      <c r="B224" s="101" t="s">
        <v>389</v>
      </c>
      <c r="C224" s="101" t="s">
        <v>230</v>
      </c>
      <c r="D224" s="121">
        <v>600</v>
      </c>
      <c r="E224" s="102">
        <f t="shared" si="35"/>
        <v>633</v>
      </c>
      <c r="F224" s="122"/>
      <c r="G224" s="87">
        <f t="shared" si="36"/>
        <v>20506</v>
      </c>
      <c r="H224" s="88">
        <f t="shared" si="37"/>
        <v>0</v>
      </c>
      <c r="I224" s="104">
        <v>15</v>
      </c>
      <c r="J224" s="87">
        <f>ROUND((D224*I224*105.5%*105.3%),)</f>
        <v>9998</v>
      </c>
      <c r="K224" s="104">
        <f aca="true" t="shared" si="39" ref="K224:K231">I224</f>
        <v>15</v>
      </c>
      <c r="L224" s="87">
        <f t="shared" si="38"/>
        <v>10508</v>
      </c>
    </row>
    <row r="225" spans="1:12" s="99" customFormat="1" ht="13.5" customHeight="1">
      <c r="A225" s="100"/>
      <c r="B225" s="101" t="s">
        <v>390</v>
      </c>
      <c r="C225" s="101" t="s">
        <v>230</v>
      </c>
      <c r="D225" s="121">
        <v>1200</v>
      </c>
      <c r="E225" s="102">
        <f t="shared" si="35"/>
        <v>1266</v>
      </c>
      <c r="F225" s="122"/>
      <c r="G225" s="87">
        <f t="shared" si="36"/>
        <v>16406</v>
      </c>
      <c r="H225" s="88">
        <f t="shared" si="37"/>
        <v>0</v>
      </c>
      <c r="I225" s="104">
        <v>6</v>
      </c>
      <c r="J225" s="87">
        <f aca="true" t="shared" si="40" ref="J225:J231">ROUND((D225*I225*105.5%*105.3%),)</f>
        <v>7999</v>
      </c>
      <c r="K225" s="104">
        <f t="shared" si="39"/>
        <v>6</v>
      </c>
      <c r="L225" s="87">
        <f t="shared" si="38"/>
        <v>8407</v>
      </c>
    </row>
    <row r="226" spans="1:12" ht="12.75">
      <c r="A226" s="100"/>
      <c r="B226" s="101" t="s">
        <v>391</v>
      </c>
      <c r="C226" s="101" t="s">
        <v>230</v>
      </c>
      <c r="D226" s="121">
        <v>1100</v>
      </c>
      <c r="E226" s="102">
        <f t="shared" si="35"/>
        <v>1160.5</v>
      </c>
      <c r="F226" s="122"/>
      <c r="G226" s="87">
        <f t="shared" si="36"/>
        <v>25063</v>
      </c>
      <c r="H226" s="88">
        <f t="shared" si="37"/>
        <v>0</v>
      </c>
      <c r="I226" s="104">
        <v>10</v>
      </c>
      <c r="J226" s="87">
        <f t="shared" si="40"/>
        <v>12220</v>
      </c>
      <c r="K226" s="104">
        <f t="shared" si="39"/>
        <v>10</v>
      </c>
      <c r="L226" s="87">
        <f t="shared" si="38"/>
        <v>12843</v>
      </c>
    </row>
    <row r="227" spans="1:12" ht="12.75">
      <c r="A227" s="100"/>
      <c r="B227" s="101" t="s">
        <v>392</v>
      </c>
      <c r="C227" s="101" t="s">
        <v>230</v>
      </c>
      <c r="D227" s="121">
        <v>1600</v>
      </c>
      <c r="E227" s="102">
        <f t="shared" si="35"/>
        <v>1688</v>
      </c>
      <c r="F227" s="122"/>
      <c r="G227" s="87">
        <f t="shared" si="36"/>
        <v>36457</v>
      </c>
      <c r="H227" s="88">
        <f t="shared" si="37"/>
        <v>0</v>
      </c>
      <c r="I227" s="104">
        <v>10</v>
      </c>
      <c r="J227" s="87">
        <f t="shared" si="40"/>
        <v>17775</v>
      </c>
      <c r="K227" s="104">
        <f t="shared" si="39"/>
        <v>10</v>
      </c>
      <c r="L227" s="87">
        <f t="shared" si="38"/>
        <v>18682</v>
      </c>
    </row>
    <row r="228" spans="1:12" s="99" customFormat="1" ht="12.75">
      <c r="A228" s="100"/>
      <c r="B228" s="101" t="s">
        <v>393</v>
      </c>
      <c r="C228" s="101" t="s">
        <v>230</v>
      </c>
      <c r="D228" s="121">
        <v>1800</v>
      </c>
      <c r="E228" s="102">
        <f t="shared" si="35"/>
        <v>1899</v>
      </c>
      <c r="F228" s="122"/>
      <c r="G228" s="87">
        <f t="shared" si="36"/>
        <v>49216</v>
      </c>
      <c r="H228" s="88">
        <f t="shared" si="37"/>
        <v>0</v>
      </c>
      <c r="I228" s="104">
        <v>12</v>
      </c>
      <c r="J228" s="87">
        <f t="shared" si="40"/>
        <v>23996</v>
      </c>
      <c r="K228" s="104">
        <f t="shared" si="39"/>
        <v>12</v>
      </c>
      <c r="L228" s="87">
        <f t="shared" si="38"/>
        <v>25220</v>
      </c>
    </row>
    <row r="229" spans="1:12" ht="12.75">
      <c r="A229" s="100"/>
      <c r="B229" s="101" t="s">
        <v>394</v>
      </c>
      <c r="C229" s="101" t="s">
        <v>230</v>
      </c>
      <c r="D229" s="121">
        <v>1400</v>
      </c>
      <c r="E229" s="102">
        <f t="shared" si="35"/>
        <v>1477</v>
      </c>
      <c r="F229" s="122"/>
      <c r="G229" s="87">
        <f t="shared" si="36"/>
        <v>47848</v>
      </c>
      <c r="H229" s="88">
        <f t="shared" si="37"/>
        <v>0</v>
      </c>
      <c r="I229" s="104">
        <v>15</v>
      </c>
      <c r="J229" s="87">
        <f t="shared" si="40"/>
        <v>23329</v>
      </c>
      <c r="K229" s="104">
        <f t="shared" si="39"/>
        <v>15</v>
      </c>
      <c r="L229" s="87">
        <f t="shared" si="38"/>
        <v>24519</v>
      </c>
    </row>
    <row r="230" spans="1:12" ht="12.75">
      <c r="A230" s="100"/>
      <c r="B230" s="101" t="s">
        <v>395</v>
      </c>
      <c r="C230" s="101" t="s">
        <v>230</v>
      </c>
      <c r="D230" s="121">
        <v>800</v>
      </c>
      <c r="E230" s="102">
        <f t="shared" si="35"/>
        <v>844</v>
      </c>
      <c r="F230" s="122"/>
      <c r="G230" s="87">
        <f t="shared" si="36"/>
        <v>36457</v>
      </c>
      <c r="H230" s="88">
        <f t="shared" si="37"/>
        <v>0</v>
      </c>
      <c r="I230" s="104">
        <v>20</v>
      </c>
      <c r="J230" s="87">
        <f t="shared" si="40"/>
        <v>17775</v>
      </c>
      <c r="K230" s="104">
        <f t="shared" si="39"/>
        <v>20</v>
      </c>
      <c r="L230" s="87">
        <f t="shared" si="38"/>
        <v>18682</v>
      </c>
    </row>
    <row r="231" spans="1:12" s="99" customFormat="1" ht="12.75">
      <c r="A231" s="100"/>
      <c r="B231" s="101" t="s">
        <v>396</v>
      </c>
      <c r="C231" s="101" t="s">
        <v>230</v>
      </c>
      <c r="D231" s="121">
        <v>900</v>
      </c>
      <c r="E231" s="102">
        <f t="shared" si="35"/>
        <v>949.5</v>
      </c>
      <c r="F231" s="122"/>
      <c r="G231" s="87">
        <f t="shared" si="36"/>
        <v>36912</v>
      </c>
      <c r="H231" s="88">
        <f t="shared" si="37"/>
        <v>0</v>
      </c>
      <c r="I231" s="104">
        <v>18</v>
      </c>
      <c r="J231" s="87">
        <f t="shared" si="40"/>
        <v>17997</v>
      </c>
      <c r="K231" s="104">
        <f t="shared" si="39"/>
        <v>18</v>
      </c>
      <c r="L231" s="87">
        <f t="shared" si="38"/>
        <v>18915</v>
      </c>
    </row>
    <row r="232" spans="1:12" ht="12.75">
      <c r="A232" s="123"/>
      <c r="B232" s="124" t="s">
        <v>397</v>
      </c>
      <c r="C232" s="125"/>
      <c r="D232" s="106"/>
      <c r="E232" s="106"/>
      <c r="F232" s="126"/>
      <c r="G232" s="126">
        <f aca="true" t="shared" si="41" ref="G232:L232">SUM(G233:G238)</f>
        <v>876813</v>
      </c>
      <c r="H232" s="126">
        <f t="shared" si="41"/>
        <v>214578</v>
      </c>
      <c r="I232" s="126"/>
      <c r="J232" s="126">
        <f t="shared" si="41"/>
        <v>322884</v>
      </c>
      <c r="K232" s="126"/>
      <c r="L232" s="126">
        <f t="shared" si="41"/>
        <v>339351</v>
      </c>
    </row>
    <row r="233" spans="1:12" ht="12.75">
      <c r="A233" s="100"/>
      <c r="B233" s="72" t="s">
        <v>539</v>
      </c>
      <c r="C233" s="127" t="s">
        <v>398</v>
      </c>
      <c r="D233" s="128">
        <v>30</v>
      </c>
      <c r="E233" s="102">
        <f aca="true" t="shared" si="42" ref="E233:E238">ROUND((D233*105.5%),2)</f>
        <v>31.65</v>
      </c>
      <c r="F233" s="122">
        <v>20</v>
      </c>
      <c r="G233" s="87">
        <f aca="true" t="shared" si="43" ref="G233:G238">SUM(L233+J233+H233)</f>
        <v>2001</v>
      </c>
      <c r="H233" s="88">
        <f aca="true" t="shared" si="44" ref="H233:H238">ROUND((E233*F233),)</f>
        <v>633</v>
      </c>
      <c r="I233" s="104">
        <f>F233</f>
        <v>20</v>
      </c>
      <c r="J233" s="87">
        <f>ROUND((H233*105.3%),)</f>
        <v>667</v>
      </c>
      <c r="K233" s="104">
        <f>F233</f>
        <v>20</v>
      </c>
      <c r="L233" s="87">
        <f aca="true" t="shared" si="45" ref="L233:L238">ROUND((J233*105.1%),)</f>
        <v>701</v>
      </c>
    </row>
    <row r="234" spans="1:12" s="99" customFormat="1" ht="12.75">
      <c r="A234" s="100"/>
      <c r="B234" s="72" t="s">
        <v>399</v>
      </c>
      <c r="C234" s="127" t="s">
        <v>398</v>
      </c>
      <c r="D234" s="128">
        <v>40</v>
      </c>
      <c r="E234" s="102">
        <f t="shared" si="42"/>
        <v>42.2</v>
      </c>
      <c r="F234" s="122">
        <v>75</v>
      </c>
      <c r="G234" s="87">
        <f t="shared" si="43"/>
        <v>10001</v>
      </c>
      <c r="H234" s="88">
        <f t="shared" si="44"/>
        <v>3165</v>
      </c>
      <c r="I234" s="104">
        <f>F234</f>
        <v>75</v>
      </c>
      <c r="J234" s="87">
        <f>ROUND((H234*105.3%),)</f>
        <v>3333</v>
      </c>
      <c r="K234" s="104">
        <f>F234</f>
        <v>75</v>
      </c>
      <c r="L234" s="87">
        <f t="shared" si="45"/>
        <v>3503</v>
      </c>
    </row>
    <row r="235" spans="1:12" ht="12.75">
      <c r="A235" s="100"/>
      <c r="B235" s="72" t="s">
        <v>400</v>
      </c>
      <c r="C235" s="127" t="s">
        <v>398</v>
      </c>
      <c r="D235" s="128">
        <v>50</v>
      </c>
      <c r="E235" s="102">
        <f t="shared" si="42"/>
        <v>52.75</v>
      </c>
      <c r="F235" s="122">
        <v>75</v>
      </c>
      <c r="G235" s="87">
        <f t="shared" si="43"/>
        <v>12500</v>
      </c>
      <c r="H235" s="88">
        <f t="shared" si="44"/>
        <v>3956</v>
      </c>
      <c r="I235" s="104">
        <f>F235</f>
        <v>75</v>
      </c>
      <c r="J235" s="87">
        <f>ROUND((H235*105.3%),)</f>
        <v>4166</v>
      </c>
      <c r="K235" s="104">
        <f>F235</f>
        <v>75</v>
      </c>
      <c r="L235" s="87">
        <f t="shared" si="45"/>
        <v>4378</v>
      </c>
    </row>
    <row r="236" spans="1:12" ht="12.75">
      <c r="A236" s="100"/>
      <c r="B236" s="72" t="s">
        <v>401</v>
      </c>
      <c r="C236" s="127" t="s">
        <v>398</v>
      </c>
      <c r="D236" s="128">
        <v>28.5</v>
      </c>
      <c r="E236" s="102">
        <f t="shared" si="42"/>
        <v>30.07</v>
      </c>
      <c r="F236" s="122">
        <f>750*11-1950+350</f>
        <v>6650</v>
      </c>
      <c r="G236" s="87">
        <f t="shared" si="43"/>
        <v>786212</v>
      </c>
      <c r="H236" s="88">
        <f t="shared" si="44"/>
        <v>199966</v>
      </c>
      <c r="I236" s="104">
        <v>9000</v>
      </c>
      <c r="J236" s="87">
        <f>ROUND((H236*105.3%/6630*9000),)</f>
        <v>285834</v>
      </c>
      <c r="K236" s="104">
        <v>9000</v>
      </c>
      <c r="L236" s="87">
        <f t="shared" si="45"/>
        <v>300412</v>
      </c>
    </row>
    <row r="237" spans="1:12" s="99" customFormat="1" ht="12.75">
      <c r="A237" s="100"/>
      <c r="B237" s="72" t="s">
        <v>402</v>
      </c>
      <c r="C237" s="127" t="s">
        <v>312</v>
      </c>
      <c r="D237" s="128">
        <v>1700</v>
      </c>
      <c r="E237" s="102">
        <f t="shared" si="42"/>
        <v>1793.5</v>
      </c>
      <c r="F237" s="122">
        <v>1</v>
      </c>
      <c r="G237" s="87">
        <f t="shared" si="43"/>
        <v>17291</v>
      </c>
      <c r="H237" s="88">
        <f t="shared" si="44"/>
        <v>1794</v>
      </c>
      <c r="I237" s="104">
        <v>4</v>
      </c>
      <c r="J237" s="87">
        <f>ROUND((H237*105.3%*I237),)</f>
        <v>7556</v>
      </c>
      <c r="K237" s="104">
        <v>4</v>
      </c>
      <c r="L237" s="87">
        <f t="shared" si="45"/>
        <v>7941</v>
      </c>
    </row>
    <row r="238" spans="1:12" ht="12.75">
      <c r="A238" s="100"/>
      <c r="B238" s="72" t="s">
        <v>403</v>
      </c>
      <c r="C238" s="127" t="s">
        <v>312</v>
      </c>
      <c r="D238" s="128">
        <v>1200</v>
      </c>
      <c r="E238" s="102">
        <f t="shared" si="42"/>
        <v>1266</v>
      </c>
      <c r="F238" s="122">
        <v>4</v>
      </c>
      <c r="G238" s="87">
        <f t="shared" si="43"/>
        <v>48808</v>
      </c>
      <c r="H238" s="88">
        <f t="shared" si="44"/>
        <v>5064</v>
      </c>
      <c r="I238" s="104">
        <f>F238*4</f>
        <v>16</v>
      </c>
      <c r="J238" s="87">
        <f>ROUND((H238*105.3%),)/4*I238</f>
        <v>21328</v>
      </c>
      <c r="K238" s="104">
        <v>16</v>
      </c>
      <c r="L238" s="87">
        <f t="shared" si="45"/>
        <v>22416</v>
      </c>
    </row>
    <row r="239" spans="1:12" ht="12.75">
      <c r="A239" s="129">
        <v>2240</v>
      </c>
      <c r="B239" s="130" t="s">
        <v>94</v>
      </c>
      <c r="C239" s="130"/>
      <c r="D239" s="131"/>
      <c r="E239" s="131"/>
      <c r="F239" s="132"/>
      <c r="G239" s="133">
        <f>G240+G243+G246+G250+G254+G260+G270+G274+G275+G276+G277+G282+G283+G284+G296</f>
        <v>5710108</v>
      </c>
      <c r="H239" s="133">
        <f>H240+H243+H246+H250+H254+H260+H270+H274+H275+H276+H277+H282+H283+H284+H296</f>
        <v>767928</v>
      </c>
      <c r="I239" s="133"/>
      <c r="J239" s="133">
        <f>J240+J243+J246+J250+J254+J260+J270+J274+J275+J276+J277+J282+J283+J284+J296</f>
        <v>2128185</v>
      </c>
      <c r="K239" s="133"/>
      <c r="L239" s="133">
        <f>L240+L243+L246+L250+L254+L260+L270+L274+L275+L276+L277+L282+L283+L284+L296</f>
        <v>2813995</v>
      </c>
    </row>
    <row r="240" spans="1:12" ht="12.75">
      <c r="A240" s="125"/>
      <c r="B240" s="134" t="s">
        <v>404</v>
      </c>
      <c r="C240" s="134" t="s">
        <v>405</v>
      </c>
      <c r="D240" s="106"/>
      <c r="E240" s="106"/>
      <c r="F240" s="126"/>
      <c r="G240" s="135">
        <f>G241+G242</f>
        <v>28726</v>
      </c>
      <c r="H240" s="135">
        <f>H241+H242</f>
        <v>9092</v>
      </c>
      <c r="I240" s="110"/>
      <c r="J240" s="135">
        <f>J241+J242</f>
        <v>9573</v>
      </c>
      <c r="K240" s="136"/>
      <c r="L240" s="135">
        <f>L241+L242</f>
        <v>10061</v>
      </c>
    </row>
    <row r="241" spans="1:12" ht="12.75">
      <c r="A241" s="127"/>
      <c r="B241" s="137" t="s">
        <v>406</v>
      </c>
      <c r="C241" s="137" t="s">
        <v>405</v>
      </c>
      <c r="D241" s="128">
        <v>6000</v>
      </c>
      <c r="E241" s="102">
        <f>ROUND((D241*105.5%),2)</f>
        <v>6330</v>
      </c>
      <c r="F241" s="122">
        <v>1</v>
      </c>
      <c r="G241" s="87">
        <f>SUM(L241+J241+H241)</f>
        <v>20000</v>
      </c>
      <c r="H241" s="88">
        <f>ROUND((E241*F241),)</f>
        <v>6330</v>
      </c>
      <c r="I241" s="104">
        <f>F241</f>
        <v>1</v>
      </c>
      <c r="J241" s="87">
        <f>ROUND((H241*105.3%),)</f>
        <v>6665</v>
      </c>
      <c r="K241" s="104">
        <f>F241</f>
        <v>1</v>
      </c>
      <c r="L241" s="87">
        <f>ROUND((J241*105.1%),)</f>
        <v>7005</v>
      </c>
    </row>
    <row r="242" spans="1:12" ht="12.75">
      <c r="A242" s="138"/>
      <c r="B242" s="139" t="s">
        <v>407</v>
      </c>
      <c r="C242" s="137" t="s">
        <v>405</v>
      </c>
      <c r="D242" s="128">
        <f>756*3+350</f>
        <v>2618</v>
      </c>
      <c r="E242" s="102">
        <f>ROUND((D242*105.5%),2)</f>
        <v>2761.99</v>
      </c>
      <c r="F242" s="122">
        <v>1</v>
      </c>
      <c r="G242" s="87">
        <f>SUM(L242+J242+H242)</f>
        <v>8726</v>
      </c>
      <c r="H242" s="88">
        <f>ROUND((E242*F242),)</f>
        <v>2762</v>
      </c>
      <c r="I242" s="104">
        <f>F242</f>
        <v>1</v>
      </c>
      <c r="J242" s="87">
        <f>ROUND((H242*105.3%),)</f>
        <v>2908</v>
      </c>
      <c r="K242" s="104">
        <f>F242</f>
        <v>1</v>
      </c>
      <c r="L242" s="87">
        <f>ROUND((J242*105.1%),)</f>
        <v>3056</v>
      </c>
    </row>
    <row r="243" spans="1:12" s="99" customFormat="1" ht="26.25">
      <c r="A243" s="140"/>
      <c r="B243" s="134" t="s">
        <v>408</v>
      </c>
      <c r="C243" s="134" t="s">
        <v>405</v>
      </c>
      <c r="D243" s="106"/>
      <c r="E243" s="106"/>
      <c r="F243" s="126"/>
      <c r="G243" s="135">
        <f>SUM(G244:G245)</f>
        <v>152043</v>
      </c>
      <c r="H243" s="135">
        <f>SUM(H244:H245)</f>
        <v>22155</v>
      </c>
      <c r="I243" s="135"/>
      <c r="J243" s="135">
        <f>SUM(J244:J245)</f>
        <v>63329</v>
      </c>
      <c r="K243" s="135"/>
      <c r="L243" s="135">
        <f>SUM(L244:L245)</f>
        <v>66559</v>
      </c>
    </row>
    <row r="244" spans="1:12" ht="12.75">
      <c r="A244" s="127"/>
      <c r="B244" s="141" t="s">
        <v>409</v>
      </c>
      <c r="C244" s="142" t="s">
        <v>410</v>
      </c>
      <c r="D244" s="128">
        <v>1500</v>
      </c>
      <c r="E244" s="102">
        <f>ROUND((D244*105.5%),2)</f>
        <v>1582.5</v>
      </c>
      <c r="F244" s="122">
        <v>12</v>
      </c>
      <c r="G244" s="87">
        <f>SUM(L244+J244+H244)</f>
        <v>142042</v>
      </c>
      <c r="H244" s="88">
        <f>ROUND((E244*F244),)</f>
        <v>18990</v>
      </c>
      <c r="I244" s="104">
        <f>F244</f>
        <v>12</v>
      </c>
      <c r="J244" s="87">
        <f>ROUND((H244*105.3%),)+40000</f>
        <v>59996</v>
      </c>
      <c r="K244" s="104">
        <f>F244</f>
        <v>12</v>
      </c>
      <c r="L244" s="87">
        <f>ROUND((J244*105.1%),)</f>
        <v>63056</v>
      </c>
    </row>
    <row r="245" spans="1:12" ht="12.75">
      <c r="A245" s="127"/>
      <c r="B245" s="141" t="s">
        <v>411</v>
      </c>
      <c r="C245" s="142" t="s">
        <v>410</v>
      </c>
      <c r="D245" s="128">
        <v>3000</v>
      </c>
      <c r="E245" s="102">
        <f>ROUND((D245*105.5%),2)</f>
        <v>3165</v>
      </c>
      <c r="F245" s="122">
        <v>1</v>
      </c>
      <c r="G245" s="87">
        <f>SUM(L245+J245+H245)</f>
        <v>10001</v>
      </c>
      <c r="H245" s="88">
        <f>ROUND((E245*F245),)</f>
        <v>3165</v>
      </c>
      <c r="I245" s="104">
        <f>F245</f>
        <v>1</v>
      </c>
      <c r="J245" s="87">
        <f>ROUND((H245*105.3%),)</f>
        <v>3333</v>
      </c>
      <c r="K245" s="104">
        <f>F245</f>
        <v>1</v>
      </c>
      <c r="L245" s="87">
        <f>ROUND((J245*105.1%),)</f>
        <v>3503</v>
      </c>
    </row>
    <row r="246" spans="1:12" ht="12.75">
      <c r="A246" s="140"/>
      <c r="B246" s="134" t="s">
        <v>412</v>
      </c>
      <c r="C246" s="134"/>
      <c r="D246" s="106"/>
      <c r="E246" s="106"/>
      <c r="F246" s="136"/>
      <c r="G246" s="135">
        <f>SUM(G247:G249)</f>
        <v>108006</v>
      </c>
      <c r="H246" s="135">
        <f>SUM(H247:H249)</f>
        <v>34182</v>
      </c>
      <c r="I246" s="135"/>
      <c r="J246" s="135">
        <f>SUM(J247:J249)</f>
        <v>35994</v>
      </c>
      <c r="K246" s="135"/>
      <c r="L246" s="135">
        <f>SUM(L247:L249)</f>
        <v>37830</v>
      </c>
    </row>
    <row r="247" spans="1:12" ht="12.75">
      <c r="A247" s="138"/>
      <c r="B247" s="137" t="s">
        <v>413</v>
      </c>
      <c r="C247" s="137" t="s">
        <v>405</v>
      </c>
      <c r="D247" s="128">
        <f>600*2</f>
        <v>1200</v>
      </c>
      <c r="E247" s="102">
        <f>ROUND((D247*105.5%),2)</f>
        <v>1266</v>
      </c>
      <c r="F247" s="122">
        <v>12</v>
      </c>
      <c r="G247" s="87">
        <f>SUM(L247+J247+H247)</f>
        <v>48002</v>
      </c>
      <c r="H247" s="88">
        <f>ROUND((E247*F247),)</f>
        <v>15192</v>
      </c>
      <c r="I247" s="104">
        <f>F247</f>
        <v>12</v>
      </c>
      <c r="J247" s="87">
        <f>ROUND((H247*105.3%),)</f>
        <v>15997</v>
      </c>
      <c r="K247" s="104">
        <f>F247</f>
        <v>12</v>
      </c>
      <c r="L247" s="87">
        <f>ROUND((J247*105.1%),)</f>
        <v>16813</v>
      </c>
    </row>
    <row r="248" spans="1:12" ht="12.75">
      <c r="A248" s="138"/>
      <c r="B248" s="137" t="s">
        <v>414</v>
      </c>
      <c r="C248" s="137" t="s">
        <v>405</v>
      </c>
      <c r="D248" s="128">
        <v>900</v>
      </c>
      <c r="E248" s="102">
        <f>ROUND((D248*105.5%),2)</f>
        <v>949.5</v>
      </c>
      <c r="F248" s="122">
        <v>12</v>
      </c>
      <c r="G248" s="87">
        <f>SUM(L248+J248+H248)</f>
        <v>36002</v>
      </c>
      <c r="H248" s="88">
        <f>ROUND((E248*F248),)</f>
        <v>11394</v>
      </c>
      <c r="I248" s="104">
        <f>F248</f>
        <v>12</v>
      </c>
      <c r="J248" s="87">
        <f>ROUND((H248*105.3%),)</f>
        <v>11998</v>
      </c>
      <c r="K248" s="104">
        <f>F248</f>
        <v>12</v>
      </c>
      <c r="L248" s="87">
        <f>ROUND((J248*105.1%),)</f>
        <v>12610</v>
      </c>
    </row>
    <row r="249" spans="1:12" ht="12.75">
      <c r="A249" s="138"/>
      <c r="B249" s="137" t="s">
        <v>415</v>
      </c>
      <c r="C249" s="137" t="s">
        <v>405</v>
      </c>
      <c r="D249" s="128">
        <v>600</v>
      </c>
      <c r="E249" s="102">
        <f>ROUND((D249*105.5%),2)</f>
        <v>633</v>
      </c>
      <c r="F249" s="122">
        <v>12</v>
      </c>
      <c r="G249" s="87">
        <f>SUM(L249+J249+H249)</f>
        <v>24002</v>
      </c>
      <c r="H249" s="88">
        <f>ROUND((E249*F249),)</f>
        <v>7596</v>
      </c>
      <c r="I249" s="104">
        <f>F249</f>
        <v>12</v>
      </c>
      <c r="J249" s="87">
        <f>ROUND((H249*105.3%),)</f>
        <v>7999</v>
      </c>
      <c r="K249" s="104">
        <f>F249</f>
        <v>12</v>
      </c>
      <c r="L249" s="87">
        <f>ROUND((J249*105.1%),)</f>
        <v>8407</v>
      </c>
    </row>
    <row r="250" spans="1:12" ht="12.75">
      <c r="A250" s="140"/>
      <c r="B250" s="134" t="s">
        <v>416</v>
      </c>
      <c r="C250" s="134"/>
      <c r="D250" s="107"/>
      <c r="E250" s="107"/>
      <c r="F250" s="108"/>
      <c r="G250" s="109">
        <f>SUM(G251:G253)</f>
        <v>171953</v>
      </c>
      <c r="H250" s="109">
        <f>SUM(H251:H253)</f>
        <v>54421</v>
      </c>
      <c r="I250" s="110"/>
      <c r="J250" s="109">
        <f>SUM(J251:J253)</f>
        <v>57305</v>
      </c>
      <c r="K250" s="136"/>
      <c r="L250" s="109">
        <f>SUM(L251:L253)</f>
        <v>60227</v>
      </c>
    </row>
    <row r="251" spans="1:12" ht="12.75">
      <c r="A251" s="138"/>
      <c r="B251" s="137" t="s">
        <v>417</v>
      </c>
      <c r="C251" s="137" t="s">
        <v>405</v>
      </c>
      <c r="D251" s="128">
        <f>300+3861.12</f>
        <v>4161.12</v>
      </c>
      <c r="E251" s="102">
        <f>ROUND((D251*105.5%),2)</f>
        <v>4389.98</v>
      </c>
      <c r="F251" s="122">
        <v>12</v>
      </c>
      <c r="G251" s="87">
        <f>SUM(L251+J251+H251)</f>
        <v>166453</v>
      </c>
      <c r="H251" s="88">
        <f>ROUND((E251*F251),)</f>
        <v>52680</v>
      </c>
      <c r="I251" s="104">
        <f>F251</f>
        <v>12</v>
      </c>
      <c r="J251" s="87">
        <f>ROUND((H251*105.3%),)</f>
        <v>55472</v>
      </c>
      <c r="K251" s="104">
        <f>F251</f>
        <v>12</v>
      </c>
      <c r="L251" s="87">
        <f>ROUND((J251*105.1%),)</f>
        <v>58301</v>
      </c>
    </row>
    <row r="252" spans="1:12" ht="12.75">
      <c r="A252" s="138"/>
      <c r="B252" s="137" t="s">
        <v>418</v>
      </c>
      <c r="C252" s="137" t="s">
        <v>405</v>
      </c>
      <c r="D252" s="128">
        <v>300</v>
      </c>
      <c r="E252" s="102">
        <f>ROUND((D252*105.5%),2)</f>
        <v>316.5</v>
      </c>
      <c r="F252" s="122">
        <v>1</v>
      </c>
      <c r="G252" s="87">
        <f>SUM(L252+J252+H252)</f>
        <v>1002</v>
      </c>
      <c r="H252" s="88">
        <f>ROUND((E252*F252),)</f>
        <v>317</v>
      </c>
      <c r="I252" s="104">
        <f>F252</f>
        <v>1</v>
      </c>
      <c r="J252" s="87">
        <f>ROUND((H252*105.3%),)</f>
        <v>334</v>
      </c>
      <c r="K252" s="104">
        <f>F252</f>
        <v>1</v>
      </c>
      <c r="L252" s="87">
        <f>ROUND((J252*105.1%),)</f>
        <v>351</v>
      </c>
    </row>
    <row r="253" spans="1:12" s="99" customFormat="1" ht="12.75">
      <c r="A253" s="138"/>
      <c r="B253" s="137" t="s">
        <v>419</v>
      </c>
      <c r="C253" s="137" t="s">
        <v>405</v>
      </c>
      <c r="D253" s="128">
        <v>1350</v>
      </c>
      <c r="E253" s="102">
        <f>ROUND((D253*105.5%),2)</f>
        <v>1424.25</v>
      </c>
      <c r="F253" s="122">
        <v>1</v>
      </c>
      <c r="G253" s="87">
        <f>SUM(L253+J253+H253)</f>
        <v>4498</v>
      </c>
      <c r="H253" s="88">
        <f>ROUND((E253*F253),)</f>
        <v>1424</v>
      </c>
      <c r="I253" s="104">
        <f>F253</f>
        <v>1</v>
      </c>
      <c r="J253" s="87">
        <f>ROUND((H253*105.3%),)</f>
        <v>1499</v>
      </c>
      <c r="K253" s="104">
        <f>F253</f>
        <v>1</v>
      </c>
      <c r="L253" s="87">
        <f>ROUND((J253*105.1%),)</f>
        <v>1575</v>
      </c>
    </row>
    <row r="254" spans="1:12" ht="12.75">
      <c r="A254" s="140"/>
      <c r="B254" s="143" t="s">
        <v>420</v>
      </c>
      <c r="C254" s="134"/>
      <c r="D254" s="107"/>
      <c r="E254" s="107"/>
      <c r="F254" s="108"/>
      <c r="G254" s="109">
        <f>SUM(G255:G259)</f>
        <v>350065</v>
      </c>
      <c r="H254" s="109">
        <f>SUM(H255:H259)</f>
        <v>110791</v>
      </c>
      <c r="I254" s="110"/>
      <c r="J254" s="109">
        <f>SUM(J255:J259)</f>
        <v>116662</v>
      </c>
      <c r="K254" s="136"/>
      <c r="L254" s="109">
        <f>SUM(L255:L259)</f>
        <v>122612</v>
      </c>
    </row>
    <row r="255" spans="1:12" ht="12.75">
      <c r="A255" s="138"/>
      <c r="B255" s="137" t="s">
        <v>421</v>
      </c>
      <c r="C255" s="137" t="s">
        <v>405</v>
      </c>
      <c r="D255" s="128">
        <v>4200</v>
      </c>
      <c r="E255" s="102">
        <f>ROUND((D255*105.5%),2)</f>
        <v>4431</v>
      </c>
      <c r="F255" s="122">
        <v>12</v>
      </c>
      <c r="G255" s="87">
        <f>SUM(L255+J255+H255)</f>
        <v>168007</v>
      </c>
      <c r="H255" s="88">
        <f>ROUND((E255*F255),)</f>
        <v>53172</v>
      </c>
      <c r="I255" s="104">
        <f>F255</f>
        <v>12</v>
      </c>
      <c r="J255" s="87">
        <f>ROUND((H255*105.3%),)</f>
        <v>55990</v>
      </c>
      <c r="K255" s="104">
        <f>F255</f>
        <v>12</v>
      </c>
      <c r="L255" s="87">
        <f>ROUND((J255*105.1%),)</f>
        <v>58845</v>
      </c>
    </row>
    <row r="256" spans="1:12" ht="12.75">
      <c r="A256" s="127"/>
      <c r="B256" s="137" t="s">
        <v>422</v>
      </c>
      <c r="C256" s="137" t="s">
        <v>405</v>
      </c>
      <c r="D256" s="128">
        <v>2900</v>
      </c>
      <c r="E256" s="102">
        <f>ROUND((D256*105.5%),2)</f>
        <v>3059.5</v>
      </c>
      <c r="F256" s="122">
        <v>12</v>
      </c>
      <c r="G256" s="87">
        <f>SUM(L256+J256+H256)</f>
        <v>116006</v>
      </c>
      <c r="H256" s="88">
        <f>ROUND((E256*F256),)</f>
        <v>36714</v>
      </c>
      <c r="I256" s="104">
        <f>F256</f>
        <v>12</v>
      </c>
      <c r="J256" s="87">
        <f>ROUND((H256*105.3%),)</f>
        <v>38660</v>
      </c>
      <c r="K256" s="104">
        <f>F256</f>
        <v>12</v>
      </c>
      <c r="L256" s="87">
        <f>ROUND((J256*105.1%),)</f>
        <v>40632</v>
      </c>
    </row>
    <row r="257" spans="1:12" ht="12.75">
      <c r="A257" s="127"/>
      <c r="B257" s="137" t="s">
        <v>423</v>
      </c>
      <c r="C257" s="137" t="s">
        <v>405</v>
      </c>
      <c r="D257" s="121">
        <f>400</f>
        <v>400</v>
      </c>
      <c r="E257" s="102">
        <f>ROUND((D257*105.5%),2)</f>
        <v>422</v>
      </c>
      <c r="F257" s="122">
        <v>12</v>
      </c>
      <c r="G257" s="87">
        <f>SUM(L257+J257+H257)</f>
        <v>16000</v>
      </c>
      <c r="H257" s="88">
        <f>ROUND((E257*F257),)</f>
        <v>5064</v>
      </c>
      <c r="I257" s="104">
        <f>F257</f>
        <v>12</v>
      </c>
      <c r="J257" s="87">
        <f>ROUND((H257*105.3%),)</f>
        <v>5332</v>
      </c>
      <c r="K257" s="104">
        <f>F257</f>
        <v>12</v>
      </c>
      <c r="L257" s="87">
        <f>ROUND((J257*105.1%),)</f>
        <v>5604</v>
      </c>
    </row>
    <row r="258" spans="1:12" ht="12.75">
      <c r="A258" s="127"/>
      <c r="B258" s="137" t="s">
        <v>424</v>
      </c>
      <c r="C258" s="137" t="s">
        <v>405</v>
      </c>
      <c r="D258" s="121">
        <v>300</v>
      </c>
      <c r="E258" s="102">
        <f>ROUND((D258*105.5%),2)</f>
        <v>316.5</v>
      </c>
      <c r="F258" s="122">
        <v>12</v>
      </c>
      <c r="G258" s="87">
        <f>SUM(L258+J258+H258)</f>
        <v>12000</v>
      </c>
      <c r="H258" s="88">
        <f>ROUND((E258*F258),)</f>
        <v>3798</v>
      </c>
      <c r="I258" s="104">
        <f>F258</f>
        <v>12</v>
      </c>
      <c r="J258" s="87">
        <f>ROUND((H258*105.3%),)</f>
        <v>3999</v>
      </c>
      <c r="K258" s="104">
        <f>F258</f>
        <v>12</v>
      </c>
      <c r="L258" s="87">
        <f>ROUND((J258*105.1%),)</f>
        <v>4203</v>
      </c>
    </row>
    <row r="259" spans="1:12" ht="12.75">
      <c r="A259" s="127"/>
      <c r="B259" s="137" t="s">
        <v>425</v>
      </c>
      <c r="C259" s="137" t="s">
        <v>405</v>
      </c>
      <c r="D259" s="121">
        <f>951.24</f>
        <v>951.24</v>
      </c>
      <c r="E259" s="102">
        <f>ROUND((D259*105.5%),2)</f>
        <v>1003.56</v>
      </c>
      <c r="F259" s="122">
        <v>12</v>
      </c>
      <c r="G259" s="87">
        <f>SUM(L259+J259+H259)</f>
        <v>38052</v>
      </c>
      <c r="H259" s="88">
        <f>ROUND((E259*F259),)</f>
        <v>12043</v>
      </c>
      <c r="I259" s="104">
        <f>F259</f>
        <v>12</v>
      </c>
      <c r="J259" s="87">
        <f>ROUND((H259*105.3%),)</f>
        <v>12681</v>
      </c>
      <c r="K259" s="104">
        <f>F259</f>
        <v>12</v>
      </c>
      <c r="L259" s="87">
        <f>ROUND((J259*105.1%),)</f>
        <v>13328</v>
      </c>
    </row>
    <row r="260" spans="1:12" ht="12.75">
      <c r="A260" s="140"/>
      <c r="B260" s="143" t="s">
        <v>426</v>
      </c>
      <c r="C260" s="134"/>
      <c r="D260" s="107"/>
      <c r="E260" s="107"/>
      <c r="F260" s="108"/>
      <c r="G260" s="109">
        <f>SUM(G261:G269)</f>
        <v>876876</v>
      </c>
      <c r="H260" s="109">
        <f>SUM(H261:H269)</f>
        <v>244088</v>
      </c>
      <c r="I260" s="110"/>
      <c r="J260" s="109">
        <f>SUM(J261:J269)</f>
        <v>308527</v>
      </c>
      <c r="K260" s="136"/>
      <c r="L260" s="109">
        <f>SUM(L261:L269)</f>
        <v>324261</v>
      </c>
    </row>
    <row r="261" spans="1:12" ht="12.75">
      <c r="A261" s="127"/>
      <c r="B261" s="137" t="s">
        <v>427</v>
      </c>
      <c r="C261" s="137" t="s">
        <v>405</v>
      </c>
      <c r="D261" s="128">
        <v>1000</v>
      </c>
      <c r="E261" s="102">
        <f aca="true" t="shared" si="46" ref="E261:E269">ROUND((D261*105.5%),2)</f>
        <v>1055</v>
      </c>
      <c r="F261" s="122">
        <v>1</v>
      </c>
      <c r="G261" s="87">
        <f aca="true" t="shared" si="47" ref="G261:G269">SUM(L261+J261+H261)</f>
        <v>3334</v>
      </c>
      <c r="H261" s="88">
        <f aca="true" t="shared" si="48" ref="H261:H269">ROUND((E261*F261),)</f>
        <v>1055</v>
      </c>
      <c r="I261" s="104">
        <f aca="true" t="shared" si="49" ref="I261:I269">F261</f>
        <v>1</v>
      </c>
      <c r="J261" s="87">
        <f aca="true" t="shared" si="50" ref="J261:J267">ROUND((H261*105.3%),)</f>
        <v>1111</v>
      </c>
      <c r="K261" s="104">
        <f aca="true" t="shared" si="51" ref="K261:K269">F261</f>
        <v>1</v>
      </c>
      <c r="L261" s="87">
        <f aca="true" t="shared" si="52" ref="L261:L269">ROUND((J261*105.1%),)</f>
        <v>1168</v>
      </c>
    </row>
    <row r="262" spans="1:12" ht="12.75">
      <c r="A262" s="127"/>
      <c r="B262" s="137" t="s">
        <v>428</v>
      </c>
      <c r="C262" s="137" t="s">
        <v>405</v>
      </c>
      <c r="D262" s="128">
        <v>4803</v>
      </c>
      <c r="E262" s="102">
        <f t="shared" si="46"/>
        <v>5067.17</v>
      </c>
      <c r="F262" s="122">
        <v>1</v>
      </c>
      <c r="G262" s="87">
        <f t="shared" si="47"/>
        <v>16011</v>
      </c>
      <c r="H262" s="88">
        <f t="shared" si="48"/>
        <v>5067</v>
      </c>
      <c r="I262" s="104">
        <f t="shared" si="49"/>
        <v>1</v>
      </c>
      <c r="J262" s="87">
        <f t="shared" si="50"/>
        <v>5336</v>
      </c>
      <c r="K262" s="104">
        <f t="shared" si="51"/>
        <v>1</v>
      </c>
      <c r="L262" s="87">
        <f t="shared" si="52"/>
        <v>5608</v>
      </c>
    </row>
    <row r="263" spans="1:12" ht="15" customHeight="1">
      <c r="A263" s="127"/>
      <c r="B263" s="137" t="s">
        <v>429</v>
      </c>
      <c r="C263" s="137" t="s">
        <v>405</v>
      </c>
      <c r="D263" s="128">
        <v>720</v>
      </c>
      <c r="E263" s="102">
        <f t="shared" si="46"/>
        <v>759.6</v>
      </c>
      <c r="F263" s="122">
        <v>12</v>
      </c>
      <c r="G263" s="87">
        <f t="shared" si="47"/>
        <v>28800</v>
      </c>
      <c r="H263" s="88">
        <f t="shared" si="48"/>
        <v>9115</v>
      </c>
      <c r="I263" s="104">
        <f t="shared" si="49"/>
        <v>12</v>
      </c>
      <c r="J263" s="87">
        <f t="shared" si="50"/>
        <v>9598</v>
      </c>
      <c r="K263" s="104">
        <f t="shared" si="51"/>
        <v>12</v>
      </c>
      <c r="L263" s="87">
        <f t="shared" si="52"/>
        <v>10087</v>
      </c>
    </row>
    <row r="264" spans="1:12" ht="26.25">
      <c r="A264" s="127"/>
      <c r="B264" s="137" t="s">
        <v>430</v>
      </c>
      <c r="C264" s="137" t="s">
        <v>405</v>
      </c>
      <c r="D264" s="128">
        <v>570</v>
      </c>
      <c r="E264" s="102">
        <f t="shared" si="46"/>
        <v>601.35</v>
      </c>
      <c r="F264" s="122">
        <v>12</v>
      </c>
      <c r="G264" s="87">
        <f t="shared" si="47"/>
        <v>22799</v>
      </c>
      <c r="H264" s="88">
        <f t="shared" si="48"/>
        <v>7216</v>
      </c>
      <c r="I264" s="104">
        <f t="shared" si="49"/>
        <v>12</v>
      </c>
      <c r="J264" s="87">
        <f t="shared" si="50"/>
        <v>7598</v>
      </c>
      <c r="K264" s="104">
        <f t="shared" si="51"/>
        <v>12</v>
      </c>
      <c r="L264" s="87">
        <f t="shared" si="52"/>
        <v>7985</v>
      </c>
    </row>
    <row r="265" spans="1:12" ht="12.75">
      <c r="A265" s="127"/>
      <c r="B265" s="144" t="s">
        <v>431</v>
      </c>
      <c r="C265" s="137" t="s">
        <v>405</v>
      </c>
      <c r="D265" s="128">
        <v>2000</v>
      </c>
      <c r="E265" s="102">
        <f t="shared" si="46"/>
        <v>2110</v>
      </c>
      <c r="F265" s="122">
        <v>1</v>
      </c>
      <c r="G265" s="87">
        <f t="shared" si="47"/>
        <v>6667</v>
      </c>
      <c r="H265" s="88">
        <f t="shared" si="48"/>
        <v>2110</v>
      </c>
      <c r="I265" s="104">
        <f t="shared" si="49"/>
        <v>1</v>
      </c>
      <c r="J265" s="87">
        <f t="shared" si="50"/>
        <v>2222</v>
      </c>
      <c r="K265" s="104">
        <f t="shared" si="51"/>
        <v>1</v>
      </c>
      <c r="L265" s="87">
        <f t="shared" si="52"/>
        <v>2335</v>
      </c>
    </row>
    <row r="266" spans="1:12" ht="12.75" customHeight="1">
      <c r="A266" s="127"/>
      <c r="B266" s="144" t="s">
        <v>432</v>
      </c>
      <c r="C266" s="137" t="s">
        <v>405</v>
      </c>
      <c r="D266" s="128">
        <v>500</v>
      </c>
      <c r="E266" s="102">
        <f t="shared" si="46"/>
        <v>527.5</v>
      </c>
      <c r="F266" s="122">
        <v>12</v>
      </c>
      <c r="G266" s="87">
        <f t="shared" si="47"/>
        <v>20000</v>
      </c>
      <c r="H266" s="88">
        <f t="shared" si="48"/>
        <v>6330</v>
      </c>
      <c r="I266" s="104">
        <f t="shared" si="49"/>
        <v>12</v>
      </c>
      <c r="J266" s="87">
        <f t="shared" si="50"/>
        <v>6665</v>
      </c>
      <c r="K266" s="104">
        <f t="shared" si="51"/>
        <v>12</v>
      </c>
      <c r="L266" s="87">
        <f t="shared" si="52"/>
        <v>7005</v>
      </c>
    </row>
    <row r="267" spans="1:12" ht="12.75">
      <c r="A267" s="127"/>
      <c r="B267" s="144" t="s">
        <v>433</v>
      </c>
      <c r="C267" s="137" t="s">
        <v>405</v>
      </c>
      <c r="D267" s="128">
        <v>1200</v>
      </c>
      <c r="E267" s="102">
        <f t="shared" si="46"/>
        <v>1266</v>
      </c>
      <c r="F267" s="122">
        <v>12</v>
      </c>
      <c r="G267" s="87">
        <f t="shared" si="47"/>
        <v>48002</v>
      </c>
      <c r="H267" s="88">
        <f t="shared" si="48"/>
        <v>15192</v>
      </c>
      <c r="I267" s="104">
        <f t="shared" si="49"/>
        <v>12</v>
      </c>
      <c r="J267" s="87">
        <f t="shared" si="50"/>
        <v>15997</v>
      </c>
      <c r="K267" s="104">
        <f t="shared" si="51"/>
        <v>12</v>
      </c>
      <c r="L267" s="87">
        <f t="shared" si="52"/>
        <v>16813</v>
      </c>
    </row>
    <row r="268" spans="1:12" ht="15" customHeight="1">
      <c r="A268" s="127"/>
      <c r="B268" s="141" t="s">
        <v>434</v>
      </c>
      <c r="C268" s="142" t="s">
        <v>410</v>
      </c>
      <c r="D268" s="128">
        <v>6319</v>
      </c>
      <c r="E268" s="102">
        <f t="shared" si="46"/>
        <v>6666.55</v>
      </c>
      <c r="F268" s="122">
        <v>12</v>
      </c>
      <c r="G268" s="87">
        <f t="shared" si="47"/>
        <v>326119</v>
      </c>
      <c r="H268" s="88">
        <f t="shared" si="48"/>
        <v>79999</v>
      </c>
      <c r="I268" s="104">
        <f t="shared" si="49"/>
        <v>12</v>
      </c>
      <c r="J268" s="87">
        <f>ROUND((H268*105.3%),)*0+120000</f>
        <v>120000</v>
      </c>
      <c r="K268" s="104">
        <f t="shared" si="51"/>
        <v>12</v>
      </c>
      <c r="L268" s="87">
        <f t="shared" si="52"/>
        <v>126120</v>
      </c>
    </row>
    <row r="269" spans="1:12" s="99" customFormat="1" ht="12.75">
      <c r="A269" s="127"/>
      <c r="B269" s="141" t="s">
        <v>435</v>
      </c>
      <c r="C269" s="142" t="s">
        <v>410</v>
      </c>
      <c r="D269" s="128">
        <v>9321</v>
      </c>
      <c r="E269" s="102">
        <f t="shared" si="46"/>
        <v>9833.66</v>
      </c>
      <c r="F269" s="122">
        <v>12</v>
      </c>
      <c r="G269" s="87">
        <f t="shared" si="47"/>
        <v>405144</v>
      </c>
      <c r="H269" s="88">
        <f t="shared" si="48"/>
        <v>118004</v>
      </c>
      <c r="I269" s="104">
        <f t="shared" si="49"/>
        <v>12</v>
      </c>
      <c r="J269" s="87">
        <f>ROUND((H269*105.3%),)*0+140000</f>
        <v>140000</v>
      </c>
      <c r="K269" s="104">
        <f t="shared" si="51"/>
        <v>12</v>
      </c>
      <c r="L269" s="87">
        <f t="shared" si="52"/>
        <v>147140</v>
      </c>
    </row>
    <row r="270" spans="1:12" ht="13.5" customHeight="1">
      <c r="A270" s="140"/>
      <c r="B270" s="143" t="s">
        <v>436</v>
      </c>
      <c r="C270" s="134"/>
      <c r="D270" s="107"/>
      <c r="E270" s="107"/>
      <c r="F270" s="126"/>
      <c r="G270" s="109">
        <f>SUM(G271:G273)</f>
        <v>318943</v>
      </c>
      <c r="H270" s="109">
        <f>SUM(H271:H273)</f>
        <v>76699</v>
      </c>
      <c r="I270" s="110"/>
      <c r="J270" s="109">
        <f>SUM(J271:J273)</f>
        <v>118110</v>
      </c>
      <c r="K270" s="136"/>
      <c r="L270" s="109">
        <f>SUM(L271:L273)</f>
        <v>124134</v>
      </c>
    </row>
    <row r="271" spans="1:12" ht="12.75">
      <c r="A271" s="127"/>
      <c r="B271" s="141" t="s">
        <v>437</v>
      </c>
      <c r="C271" s="137" t="s">
        <v>405</v>
      </c>
      <c r="D271" s="128">
        <v>5300</v>
      </c>
      <c r="E271" s="102">
        <f aca="true" t="shared" si="53" ref="E271:E276">ROUND((D271*105.5%),2)</f>
        <v>5591.5</v>
      </c>
      <c r="F271" s="122">
        <v>12</v>
      </c>
      <c r="G271" s="87">
        <f aca="true" t="shared" si="54" ref="G271:G276">SUM(L271+J271+H271)</f>
        <v>288606</v>
      </c>
      <c r="H271" s="88">
        <f aca="true" t="shared" si="55" ref="H271:H276">ROUND((E271*F271),)</f>
        <v>67098</v>
      </c>
      <c r="I271" s="104">
        <f aca="true" t="shared" si="56" ref="I271:I276">F271</f>
        <v>12</v>
      </c>
      <c r="J271" s="87">
        <f>ROUND((H271*105.3%),)+37346</f>
        <v>108000</v>
      </c>
      <c r="K271" s="104">
        <f aca="true" t="shared" si="57" ref="K271:K276">F271</f>
        <v>12</v>
      </c>
      <c r="L271" s="87">
        <f aca="true" t="shared" si="58" ref="L271:L276">ROUND((J271*105.1%),)</f>
        <v>113508</v>
      </c>
    </row>
    <row r="272" spans="1:12" ht="24" customHeight="1">
      <c r="A272" s="127"/>
      <c r="B272" s="137" t="s">
        <v>438</v>
      </c>
      <c r="C272" s="137" t="s">
        <v>405</v>
      </c>
      <c r="D272" s="128">
        <v>1300</v>
      </c>
      <c r="E272" s="102">
        <f t="shared" si="53"/>
        <v>1371.5</v>
      </c>
      <c r="F272" s="122">
        <v>1</v>
      </c>
      <c r="G272" s="87">
        <f t="shared" si="54"/>
        <v>4336</v>
      </c>
      <c r="H272" s="88">
        <f t="shared" si="55"/>
        <v>1372</v>
      </c>
      <c r="I272" s="104">
        <f t="shared" si="56"/>
        <v>1</v>
      </c>
      <c r="J272" s="87">
        <f>ROUND((H272*105.3%),)</f>
        <v>1445</v>
      </c>
      <c r="K272" s="104">
        <f t="shared" si="57"/>
        <v>1</v>
      </c>
      <c r="L272" s="87">
        <f t="shared" si="58"/>
        <v>1519</v>
      </c>
    </row>
    <row r="273" spans="1:12" ht="12.75">
      <c r="A273" s="127"/>
      <c r="B273" s="137" t="s">
        <v>439</v>
      </c>
      <c r="C273" s="137" t="s">
        <v>405</v>
      </c>
      <c r="D273" s="128">
        <v>7800</v>
      </c>
      <c r="E273" s="102">
        <f t="shared" si="53"/>
        <v>8229</v>
      </c>
      <c r="F273" s="122">
        <v>1</v>
      </c>
      <c r="G273" s="87">
        <f t="shared" si="54"/>
        <v>26001</v>
      </c>
      <c r="H273" s="88">
        <f t="shared" si="55"/>
        <v>8229</v>
      </c>
      <c r="I273" s="104">
        <f t="shared" si="56"/>
        <v>1</v>
      </c>
      <c r="J273" s="87">
        <f>ROUND((H273*105.3%),)</f>
        <v>8665</v>
      </c>
      <c r="K273" s="104">
        <f t="shared" si="57"/>
        <v>1</v>
      </c>
      <c r="L273" s="87">
        <f t="shared" si="58"/>
        <v>9107</v>
      </c>
    </row>
    <row r="274" spans="1:12" ht="12.75">
      <c r="A274" s="125"/>
      <c r="B274" s="134" t="s">
        <v>440</v>
      </c>
      <c r="C274" s="134" t="s">
        <v>405</v>
      </c>
      <c r="D274" s="106">
        <v>500</v>
      </c>
      <c r="E274" s="107">
        <f t="shared" si="53"/>
        <v>527.5</v>
      </c>
      <c r="F274" s="108">
        <v>1</v>
      </c>
      <c r="G274" s="109">
        <f t="shared" si="54"/>
        <v>1668</v>
      </c>
      <c r="H274" s="110">
        <f t="shared" si="55"/>
        <v>528</v>
      </c>
      <c r="I274" s="111">
        <f t="shared" si="56"/>
        <v>1</v>
      </c>
      <c r="J274" s="109">
        <f>ROUND((H274*105.3%),)</f>
        <v>556</v>
      </c>
      <c r="K274" s="111">
        <f t="shared" si="57"/>
        <v>1</v>
      </c>
      <c r="L274" s="109">
        <f t="shared" si="58"/>
        <v>584</v>
      </c>
    </row>
    <row r="275" spans="1:12" ht="12.75" hidden="1">
      <c r="A275" s="125"/>
      <c r="B275" s="145" t="s">
        <v>441</v>
      </c>
      <c r="C275" s="134" t="s">
        <v>405</v>
      </c>
      <c r="D275" s="106"/>
      <c r="E275" s="107">
        <f t="shared" si="53"/>
        <v>0</v>
      </c>
      <c r="F275" s="108">
        <v>1</v>
      </c>
      <c r="G275" s="109">
        <f t="shared" si="54"/>
        <v>0</v>
      </c>
      <c r="H275" s="110">
        <f t="shared" si="55"/>
        <v>0</v>
      </c>
      <c r="I275" s="111">
        <f t="shared" si="56"/>
        <v>1</v>
      </c>
      <c r="J275" s="109">
        <f>ROUND((H275*105.3%),)</f>
        <v>0</v>
      </c>
      <c r="K275" s="111">
        <f t="shared" si="57"/>
        <v>1</v>
      </c>
      <c r="L275" s="109">
        <f t="shared" si="58"/>
        <v>0</v>
      </c>
    </row>
    <row r="276" spans="1:12" ht="27" customHeight="1">
      <c r="A276" s="125"/>
      <c r="B276" s="134" t="s">
        <v>442</v>
      </c>
      <c r="C276" s="134" t="s">
        <v>405</v>
      </c>
      <c r="D276" s="106">
        <f>9700+5900</f>
        <v>15600</v>
      </c>
      <c r="E276" s="107">
        <f t="shared" si="53"/>
        <v>16458</v>
      </c>
      <c r="F276" s="108">
        <v>1</v>
      </c>
      <c r="G276" s="109">
        <f t="shared" si="54"/>
        <v>52002</v>
      </c>
      <c r="H276" s="110">
        <f t="shared" si="55"/>
        <v>16458</v>
      </c>
      <c r="I276" s="111">
        <f t="shared" si="56"/>
        <v>1</v>
      </c>
      <c r="J276" s="109">
        <f>ROUND((H276*105.3%),)</f>
        <v>17330</v>
      </c>
      <c r="K276" s="111">
        <f t="shared" si="57"/>
        <v>1</v>
      </c>
      <c r="L276" s="109">
        <f t="shared" si="58"/>
        <v>18214</v>
      </c>
    </row>
    <row r="277" spans="1:12" ht="12.75">
      <c r="A277" s="125"/>
      <c r="B277" s="134" t="s">
        <v>443</v>
      </c>
      <c r="C277" s="134"/>
      <c r="D277" s="107"/>
      <c r="E277" s="107"/>
      <c r="F277" s="108"/>
      <c r="G277" s="109">
        <f>SUM(G278:G281)</f>
        <v>381271</v>
      </c>
      <c r="H277" s="109">
        <f>SUM(H278:H281)</f>
        <v>120667</v>
      </c>
      <c r="I277" s="110"/>
      <c r="J277" s="109">
        <f>SUM(J278:J281)</f>
        <v>127062</v>
      </c>
      <c r="K277" s="136"/>
      <c r="L277" s="109">
        <f>SUM(L278:L281)</f>
        <v>133542</v>
      </c>
    </row>
    <row r="278" spans="1:12" ht="12.75">
      <c r="A278" s="127"/>
      <c r="B278" s="137" t="s">
        <v>444</v>
      </c>
      <c r="C278" s="137" t="s">
        <v>405</v>
      </c>
      <c r="D278" s="128">
        <v>4581.24</v>
      </c>
      <c r="E278" s="102">
        <f aca="true" t="shared" si="59" ref="E278:E283">ROUND((D278*105.5%),2)</f>
        <v>4833.21</v>
      </c>
      <c r="F278" s="122">
        <v>12</v>
      </c>
      <c r="G278" s="87">
        <f>SUM(L278+J278+H278)</f>
        <v>183260</v>
      </c>
      <c r="H278" s="88">
        <f aca="true" t="shared" si="60" ref="H278:H283">ROUND((E278*F278),)</f>
        <v>57999</v>
      </c>
      <c r="I278" s="104">
        <f aca="true" t="shared" si="61" ref="I278:I283">F278</f>
        <v>12</v>
      </c>
      <c r="J278" s="87">
        <f>ROUND((H278*105.3%),)</f>
        <v>61073</v>
      </c>
      <c r="K278" s="104">
        <f aca="true" t="shared" si="62" ref="K278:K283">F278</f>
        <v>12</v>
      </c>
      <c r="L278" s="87">
        <f aca="true" t="shared" si="63" ref="L278:L283">ROUND((J278*105.1%),)</f>
        <v>64188</v>
      </c>
    </row>
    <row r="279" spans="1:12" ht="12.75">
      <c r="A279" s="127"/>
      <c r="B279" s="137" t="s">
        <v>445</v>
      </c>
      <c r="C279" s="137" t="s">
        <v>405</v>
      </c>
      <c r="D279" s="128">
        <v>1280.22</v>
      </c>
      <c r="E279" s="102">
        <f t="shared" si="59"/>
        <v>1350.63</v>
      </c>
      <c r="F279" s="122">
        <v>12</v>
      </c>
      <c r="G279" s="87">
        <f>SUM(L279+J279+H279)</f>
        <v>51212</v>
      </c>
      <c r="H279" s="88">
        <f t="shared" si="60"/>
        <v>16208</v>
      </c>
      <c r="I279" s="104">
        <f t="shared" si="61"/>
        <v>12</v>
      </c>
      <c r="J279" s="87">
        <f>ROUND((H279*105.3%),)</f>
        <v>17067</v>
      </c>
      <c r="K279" s="104">
        <f t="shared" si="62"/>
        <v>12</v>
      </c>
      <c r="L279" s="87">
        <f t="shared" si="63"/>
        <v>17937</v>
      </c>
    </row>
    <row r="280" spans="1:12" ht="12.75">
      <c r="A280" s="127"/>
      <c r="B280" s="137" t="s">
        <v>446</v>
      </c>
      <c r="C280" s="137" t="s">
        <v>405</v>
      </c>
      <c r="D280" s="128">
        <v>1669.83</v>
      </c>
      <c r="E280" s="102">
        <f t="shared" si="59"/>
        <v>1761.67</v>
      </c>
      <c r="F280" s="122">
        <v>12</v>
      </c>
      <c r="G280" s="87">
        <f>SUM(L280+J280+H280)</f>
        <v>66795</v>
      </c>
      <c r="H280" s="88">
        <f t="shared" si="60"/>
        <v>21140</v>
      </c>
      <c r="I280" s="104">
        <f t="shared" si="61"/>
        <v>12</v>
      </c>
      <c r="J280" s="87">
        <f>ROUND((H280*105.3%),)</f>
        <v>22260</v>
      </c>
      <c r="K280" s="104">
        <f t="shared" si="62"/>
        <v>12</v>
      </c>
      <c r="L280" s="87">
        <f t="shared" si="63"/>
        <v>23395</v>
      </c>
    </row>
    <row r="281" spans="1:12" ht="12.75">
      <c r="A281" s="127"/>
      <c r="B281" s="137" t="s">
        <v>447</v>
      </c>
      <c r="C281" s="137" t="s">
        <v>405</v>
      </c>
      <c r="D281" s="128">
        <v>2000</v>
      </c>
      <c r="E281" s="102">
        <f t="shared" si="59"/>
        <v>2110</v>
      </c>
      <c r="F281" s="122">
        <v>12</v>
      </c>
      <c r="G281" s="87">
        <f>SUM(L281+J281+H281)</f>
        <v>80004</v>
      </c>
      <c r="H281" s="88">
        <f t="shared" si="60"/>
        <v>25320</v>
      </c>
      <c r="I281" s="104">
        <f t="shared" si="61"/>
        <v>12</v>
      </c>
      <c r="J281" s="87">
        <f>ROUND((H281*105.3%),)</f>
        <v>26662</v>
      </c>
      <c r="K281" s="104">
        <f t="shared" si="62"/>
        <v>12</v>
      </c>
      <c r="L281" s="87">
        <f t="shared" si="63"/>
        <v>28022</v>
      </c>
    </row>
    <row r="282" spans="1:12" ht="12.75">
      <c r="A282" s="125"/>
      <c r="B282" s="111" t="s">
        <v>448</v>
      </c>
      <c r="C282" s="111" t="s">
        <v>410</v>
      </c>
      <c r="D282" s="107">
        <v>8500</v>
      </c>
      <c r="E282" s="107">
        <f t="shared" si="59"/>
        <v>8967.5</v>
      </c>
      <c r="F282" s="126">
        <v>1</v>
      </c>
      <c r="G282" s="109">
        <f>H282+J282+L282</f>
        <v>28409</v>
      </c>
      <c r="H282" s="109">
        <f t="shared" si="60"/>
        <v>8968</v>
      </c>
      <c r="I282" s="111">
        <f t="shared" si="61"/>
        <v>1</v>
      </c>
      <c r="J282" s="109">
        <f>ROUND((H282*105.7%),)</f>
        <v>9479</v>
      </c>
      <c r="K282" s="111">
        <f t="shared" si="62"/>
        <v>1</v>
      </c>
      <c r="L282" s="109">
        <f t="shared" si="63"/>
        <v>9962</v>
      </c>
    </row>
    <row r="283" spans="1:12" ht="12.75">
      <c r="A283" s="125"/>
      <c r="B283" s="145" t="s">
        <v>449</v>
      </c>
      <c r="C283" s="146" t="s">
        <v>410</v>
      </c>
      <c r="D283" s="107">
        <v>75</v>
      </c>
      <c r="E283" s="107">
        <f t="shared" si="59"/>
        <v>79.13</v>
      </c>
      <c r="F283" s="126">
        <v>2</v>
      </c>
      <c r="G283" s="109">
        <f>H283+J283+L283</f>
        <v>501</v>
      </c>
      <c r="H283" s="109">
        <f t="shared" si="60"/>
        <v>158</v>
      </c>
      <c r="I283" s="111">
        <f t="shared" si="61"/>
        <v>2</v>
      </c>
      <c r="J283" s="109">
        <f>ROUND((H283*105.7%),)</f>
        <v>167</v>
      </c>
      <c r="K283" s="111">
        <f t="shared" si="62"/>
        <v>2</v>
      </c>
      <c r="L283" s="109">
        <f t="shared" si="63"/>
        <v>176</v>
      </c>
    </row>
    <row r="284" spans="1:12" ht="12.75">
      <c r="A284" s="125"/>
      <c r="B284" s="145" t="s">
        <v>450</v>
      </c>
      <c r="C284" s="146"/>
      <c r="D284" s="107"/>
      <c r="E284" s="107"/>
      <c r="F284" s="126"/>
      <c r="G284" s="109">
        <f>SUM(G285:G295)</f>
        <v>3179358</v>
      </c>
      <c r="H284" s="109">
        <f>SUM(H285:H295)</f>
        <v>50641</v>
      </c>
      <c r="I284" s="110"/>
      <c r="J284" s="109">
        <f>SUM(J285:J295)</f>
        <v>1244000</v>
      </c>
      <c r="K284" s="136"/>
      <c r="L284" s="109">
        <f>SUM(L285:L295)</f>
        <v>1884717</v>
      </c>
    </row>
    <row r="285" spans="1:12" s="99" customFormat="1" ht="26.25">
      <c r="A285" s="127"/>
      <c r="B285" s="141" t="s">
        <v>672</v>
      </c>
      <c r="C285" s="137" t="s">
        <v>405</v>
      </c>
      <c r="D285" s="128"/>
      <c r="E285" s="102">
        <v>18841</v>
      </c>
      <c r="F285" s="122">
        <v>1</v>
      </c>
      <c r="G285" s="87">
        <f aca="true" t="shared" si="64" ref="G285:G295">SUM(L285+J285+H285)</f>
        <v>426990</v>
      </c>
      <c r="H285" s="88">
        <f>E285*F285</f>
        <v>18841</v>
      </c>
      <c r="I285" s="104">
        <f aca="true" t="shared" si="65" ref="I285:I296">F285</f>
        <v>1</v>
      </c>
      <c r="J285" s="87">
        <v>199000</v>
      </c>
      <c r="K285" s="104">
        <f aca="true" t="shared" si="66" ref="K285:K296">F285</f>
        <v>1</v>
      </c>
      <c r="L285" s="87">
        <f>ROUND((J285*105.1%),)</f>
        <v>209149</v>
      </c>
    </row>
    <row r="286" spans="1:12" ht="26.25">
      <c r="A286" s="127"/>
      <c r="B286" s="141" t="s">
        <v>451</v>
      </c>
      <c r="C286" s="137" t="s">
        <v>405</v>
      </c>
      <c r="D286" s="128">
        <v>187060</v>
      </c>
      <c r="E286" s="102"/>
      <c r="F286" s="122">
        <v>1</v>
      </c>
      <c r="G286" s="87">
        <f t="shared" si="64"/>
        <v>408149</v>
      </c>
      <c r="H286" s="88">
        <f>E286*F286</f>
        <v>0</v>
      </c>
      <c r="I286" s="104">
        <f t="shared" si="65"/>
        <v>1</v>
      </c>
      <c r="J286" s="87">
        <v>199000</v>
      </c>
      <c r="K286" s="104">
        <f t="shared" si="66"/>
        <v>1</v>
      </c>
      <c r="L286" s="87">
        <f>ROUND((J286*105.1%),)</f>
        <v>209149</v>
      </c>
    </row>
    <row r="287" spans="1:12" ht="26.25">
      <c r="A287" s="127"/>
      <c r="B287" s="141" t="s">
        <v>550</v>
      </c>
      <c r="C287" s="137" t="s">
        <v>405</v>
      </c>
      <c r="D287" s="128">
        <v>187060</v>
      </c>
      <c r="E287" s="102"/>
      <c r="F287" s="122">
        <v>1</v>
      </c>
      <c r="G287" s="87">
        <f>SUM(L287+J287+H287)</f>
        <v>408149</v>
      </c>
      <c r="H287" s="88">
        <f>E287*F287</f>
        <v>0</v>
      </c>
      <c r="I287" s="104">
        <f>F287</f>
        <v>1</v>
      </c>
      <c r="J287" s="87">
        <v>199000</v>
      </c>
      <c r="K287" s="104">
        <f>F287</f>
        <v>1</v>
      </c>
      <c r="L287" s="87">
        <f>ROUND((J287*105.1%),)</f>
        <v>209149</v>
      </c>
    </row>
    <row r="288" spans="1:12" ht="39">
      <c r="A288" s="127"/>
      <c r="B288" s="141" t="s">
        <v>549</v>
      </c>
      <c r="C288" s="137" t="s">
        <v>405</v>
      </c>
      <c r="D288" s="128"/>
      <c r="E288" s="102"/>
      <c r="F288" s="122">
        <v>1</v>
      </c>
      <c r="G288" s="87">
        <f t="shared" si="64"/>
        <v>229823</v>
      </c>
      <c r="H288" s="88">
        <f>E288*F288</f>
        <v>0</v>
      </c>
      <c r="I288" s="104">
        <f t="shared" si="65"/>
        <v>1</v>
      </c>
      <c r="J288" s="87"/>
      <c r="K288" s="104">
        <f t="shared" si="66"/>
        <v>1</v>
      </c>
      <c r="L288" s="87">
        <f>139823+90000</f>
        <v>229823</v>
      </c>
    </row>
    <row r="289" spans="1:12" ht="18" customHeight="1">
      <c r="A289" s="127"/>
      <c r="B289" s="141" t="s">
        <v>452</v>
      </c>
      <c r="C289" s="137" t="s">
        <v>405</v>
      </c>
      <c r="D289" s="128">
        <v>187060</v>
      </c>
      <c r="E289" s="102"/>
      <c r="F289" s="122">
        <v>1</v>
      </c>
      <c r="G289" s="87">
        <f t="shared" si="64"/>
        <v>408149</v>
      </c>
      <c r="H289" s="88">
        <f>E289*F289</f>
        <v>0</v>
      </c>
      <c r="I289" s="104">
        <f t="shared" si="65"/>
        <v>1</v>
      </c>
      <c r="J289" s="87">
        <v>199000</v>
      </c>
      <c r="K289" s="104">
        <f t="shared" si="66"/>
        <v>1</v>
      </c>
      <c r="L289" s="87">
        <f>ROUND((J289*105.1%),)</f>
        <v>209149</v>
      </c>
    </row>
    <row r="290" spans="1:12" ht="26.25">
      <c r="A290" s="127"/>
      <c r="B290" s="141" t="s">
        <v>453</v>
      </c>
      <c r="C290" s="137" t="s">
        <v>405</v>
      </c>
      <c r="D290" s="128">
        <v>47000</v>
      </c>
      <c r="E290" s="102">
        <f>ROUND((D290*106%),2)+180</f>
        <v>50000</v>
      </c>
      <c r="F290" s="122">
        <v>1</v>
      </c>
      <c r="G290" s="87">
        <f t="shared" si="64"/>
        <v>408149</v>
      </c>
      <c r="H290" s="88"/>
      <c r="I290" s="104">
        <f t="shared" si="65"/>
        <v>1</v>
      </c>
      <c r="J290" s="87">
        <v>199000</v>
      </c>
      <c r="K290" s="104">
        <f t="shared" si="66"/>
        <v>1</v>
      </c>
      <c r="L290" s="87">
        <f>ROUND((J290*105.1%),)</f>
        <v>209149</v>
      </c>
    </row>
    <row r="291" spans="1:12" ht="26.25">
      <c r="A291" s="127"/>
      <c r="B291" s="141" t="s">
        <v>454</v>
      </c>
      <c r="C291" s="137" t="s">
        <v>405</v>
      </c>
      <c r="D291" s="128">
        <v>160000</v>
      </c>
      <c r="E291" s="102">
        <v>160000</v>
      </c>
      <c r="F291" s="122">
        <v>1</v>
      </c>
      <c r="G291" s="87">
        <f t="shared" si="64"/>
        <v>808149</v>
      </c>
      <c r="H291" s="88"/>
      <c r="I291" s="104">
        <f t="shared" si="65"/>
        <v>1</v>
      </c>
      <c r="J291" s="87">
        <v>199000</v>
      </c>
      <c r="K291" s="104">
        <f t="shared" si="66"/>
        <v>1</v>
      </c>
      <c r="L291" s="87">
        <f>ROUND((J291*105.1%),)+400000</f>
        <v>609149</v>
      </c>
    </row>
    <row r="292" spans="1:12" ht="27" customHeight="1">
      <c r="A292" s="127"/>
      <c r="B292" s="141" t="s">
        <v>455</v>
      </c>
      <c r="C292" s="137" t="s">
        <v>405</v>
      </c>
      <c r="D292" s="128">
        <v>15000</v>
      </c>
      <c r="E292" s="102">
        <f>ROUND((D292*106%),2)</f>
        <v>15900</v>
      </c>
      <c r="F292" s="122">
        <v>1</v>
      </c>
      <c r="G292" s="87">
        <f>SUM(L292+J292+H292)</f>
        <v>15900</v>
      </c>
      <c r="H292" s="88">
        <f>E292</f>
        <v>15900</v>
      </c>
      <c r="I292" s="104"/>
      <c r="J292" s="87"/>
      <c r="K292" s="104"/>
      <c r="L292" s="87"/>
    </row>
    <row r="293" spans="1:12" ht="26.25">
      <c r="A293" s="127"/>
      <c r="B293" s="141" t="s">
        <v>456</v>
      </c>
      <c r="C293" s="137" t="s">
        <v>405</v>
      </c>
      <c r="D293" s="128">
        <v>15000</v>
      </c>
      <c r="E293" s="102">
        <f>ROUND((D293*106%),2)</f>
        <v>15900</v>
      </c>
      <c r="F293" s="122">
        <v>1</v>
      </c>
      <c r="G293" s="87">
        <f>SUM(L293+J293+H293)</f>
        <v>15900</v>
      </c>
      <c r="H293" s="88">
        <v>15900</v>
      </c>
      <c r="I293" s="104"/>
      <c r="J293" s="87"/>
      <c r="K293" s="104"/>
      <c r="L293" s="87"/>
    </row>
    <row r="294" spans="1:12" ht="39">
      <c r="A294" s="127"/>
      <c r="B294" s="141" t="s">
        <v>457</v>
      </c>
      <c r="C294" s="137" t="s">
        <v>405</v>
      </c>
      <c r="D294" s="128">
        <v>15000</v>
      </c>
      <c r="E294" s="102">
        <f>ROUND((D294*106%),2)</f>
        <v>15900</v>
      </c>
      <c r="F294" s="122">
        <v>1</v>
      </c>
      <c r="G294" s="87">
        <f>SUM(L294+J294+H294)</f>
        <v>25000</v>
      </c>
      <c r="H294" s="88"/>
      <c r="I294" s="104">
        <v>1</v>
      </c>
      <c r="J294" s="87">
        <v>25000</v>
      </c>
      <c r="K294" s="104"/>
      <c r="L294" s="87"/>
    </row>
    <row r="295" spans="1:12" ht="26.25">
      <c r="A295" s="127"/>
      <c r="B295" s="141" t="s">
        <v>458</v>
      </c>
      <c r="C295" s="137" t="s">
        <v>405</v>
      </c>
      <c r="D295" s="128">
        <v>15000</v>
      </c>
      <c r="E295" s="102">
        <f>ROUND((D295*106%),2)</f>
        <v>15900</v>
      </c>
      <c r="F295" s="122">
        <v>1</v>
      </c>
      <c r="G295" s="87">
        <f t="shared" si="64"/>
        <v>25000</v>
      </c>
      <c r="H295" s="88"/>
      <c r="I295" s="104">
        <v>1</v>
      </c>
      <c r="J295" s="87">
        <v>25000</v>
      </c>
      <c r="K295" s="104"/>
      <c r="L295" s="87"/>
    </row>
    <row r="296" spans="1:12" ht="12.75">
      <c r="A296" s="125"/>
      <c r="B296" s="145" t="s">
        <v>459</v>
      </c>
      <c r="C296" s="146" t="s">
        <v>405</v>
      </c>
      <c r="D296" s="107">
        <v>1500</v>
      </c>
      <c r="E296" s="107">
        <f>ROUND((D296*106%),2)</f>
        <v>1590</v>
      </c>
      <c r="F296" s="126">
        <v>12</v>
      </c>
      <c r="G296" s="109">
        <f>H296+J296+L296</f>
        <v>60287</v>
      </c>
      <c r="H296" s="109">
        <f>ROUND((E296*F296),)</f>
        <v>19080</v>
      </c>
      <c r="I296" s="111">
        <f t="shared" si="65"/>
        <v>12</v>
      </c>
      <c r="J296" s="109">
        <f>ROUND((H296*105.3%),)</f>
        <v>20091</v>
      </c>
      <c r="K296" s="111">
        <f t="shared" si="66"/>
        <v>12</v>
      </c>
      <c r="L296" s="109">
        <f>ROUND((J296*105.1%),)</f>
        <v>21116</v>
      </c>
    </row>
    <row r="297" spans="1:12" ht="12.75">
      <c r="A297" s="129">
        <v>2250</v>
      </c>
      <c r="B297" s="130" t="s">
        <v>460</v>
      </c>
      <c r="C297" s="130"/>
      <c r="D297" s="147"/>
      <c r="E297" s="147"/>
      <c r="F297" s="132"/>
      <c r="G297" s="148">
        <f>H297+J297+L297</f>
        <v>161462</v>
      </c>
      <c r="H297" s="149">
        <f>H298+H299</f>
        <v>11332</v>
      </c>
      <c r="I297" s="149"/>
      <c r="J297" s="149">
        <f>J298+J299</f>
        <v>30464</v>
      </c>
      <c r="K297" s="149"/>
      <c r="L297" s="149">
        <f>L298+L299</f>
        <v>119666</v>
      </c>
    </row>
    <row r="298" spans="1:12" ht="26.25">
      <c r="A298" s="127"/>
      <c r="B298" s="137" t="s">
        <v>538</v>
      </c>
      <c r="C298" s="137"/>
      <c r="D298" s="121">
        <v>11000</v>
      </c>
      <c r="E298" s="121">
        <v>11000</v>
      </c>
      <c r="F298" s="150">
        <v>7</v>
      </c>
      <c r="G298" s="151">
        <f>H298+J298+L298</f>
        <v>153462</v>
      </c>
      <c r="H298" s="152">
        <v>8800</v>
      </c>
      <c r="I298" s="104">
        <f>F298*3</f>
        <v>21</v>
      </c>
      <c r="J298" s="87">
        <f>ROUND((H298*105.3%),)*3</f>
        <v>27798</v>
      </c>
      <c r="K298" s="104">
        <f>F298*4</f>
        <v>28</v>
      </c>
      <c r="L298" s="87">
        <f>ROUND((J298*105.1%),)*4</f>
        <v>116864</v>
      </c>
    </row>
    <row r="299" spans="1:12" ht="52.5">
      <c r="A299" s="127"/>
      <c r="B299" s="137" t="s">
        <v>461</v>
      </c>
      <c r="C299" s="137"/>
      <c r="D299" s="121">
        <v>200</v>
      </c>
      <c r="E299" s="102">
        <f>ROUND((D299*105.5%),2)</f>
        <v>211</v>
      </c>
      <c r="F299" s="122">
        <v>12</v>
      </c>
      <c r="G299" s="87">
        <f>SUM(L299+J299+H299)</f>
        <v>8000</v>
      </c>
      <c r="H299" s="88">
        <f>ROUND((E299*F299),)</f>
        <v>2532</v>
      </c>
      <c r="I299" s="104">
        <f>F299</f>
        <v>12</v>
      </c>
      <c r="J299" s="87">
        <f>ROUND((H299*105.3%),)</f>
        <v>2666</v>
      </c>
      <c r="K299" s="104">
        <f>F299</f>
        <v>12</v>
      </c>
      <c r="L299" s="87">
        <f>ROUND((J299*105.1%),)</f>
        <v>2802</v>
      </c>
    </row>
    <row r="300" spans="1:12" ht="26.25">
      <c r="A300" s="153">
        <v>2270</v>
      </c>
      <c r="B300" s="154" t="s">
        <v>462</v>
      </c>
      <c r="C300" s="154"/>
      <c r="D300" s="147"/>
      <c r="E300" s="147"/>
      <c r="F300" s="132"/>
      <c r="G300" s="148">
        <f>G301+G306+G310+G313+G318</f>
        <v>2697337</v>
      </c>
      <c r="H300" s="148">
        <f>H301+H306+H310+H313+H318</f>
        <v>836155</v>
      </c>
      <c r="I300" s="149"/>
      <c r="J300" s="148">
        <f>J301+J306+J310+J313+J318</f>
        <v>903048</v>
      </c>
      <c r="K300" s="155"/>
      <c r="L300" s="148">
        <f>L301+L306+L310+L313+L318</f>
        <v>958134</v>
      </c>
    </row>
    <row r="301" spans="1:12" ht="12.75">
      <c r="A301" s="156">
        <v>2271</v>
      </c>
      <c r="B301" s="157" t="s">
        <v>98</v>
      </c>
      <c r="C301" s="157"/>
      <c r="D301" s="158"/>
      <c r="E301" s="158"/>
      <c r="F301" s="159"/>
      <c r="G301" s="160">
        <f>G303+G305</f>
        <v>1091497</v>
      </c>
      <c r="H301" s="160">
        <f>H303+H305</f>
        <v>338356</v>
      </c>
      <c r="I301" s="160"/>
      <c r="J301" s="160">
        <f>J303+J305</f>
        <v>365425</v>
      </c>
      <c r="K301" s="160"/>
      <c r="L301" s="160">
        <f>L303+L305</f>
        <v>387716</v>
      </c>
    </row>
    <row r="302" spans="1:12" ht="12.75">
      <c r="A302" s="127"/>
      <c r="B302" s="137" t="s">
        <v>463</v>
      </c>
      <c r="C302" s="137"/>
      <c r="D302" s="128"/>
      <c r="E302" s="102"/>
      <c r="F302" s="122"/>
      <c r="G302" s="87"/>
      <c r="H302" s="87"/>
      <c r="I302" s="161"/>
      <c r="J302" s="87"/>
      <c r="K302" s="161"/>
      <c r="L302" s="87"/>
    </row>
    <row r="303" spans="1:12" ht="12.75">
      <c r="A303" s="127"/>
      <c r="B303" s="137" t="s">
        <v>464</v>
      </c>
      <c r="C303" s="137" t="s">
        <v>465</v>
      </c>
      <c r="D303" s="128">
        <v>1551.072</v>
      </c>
      <c r="E303" s="102">
        <f>ROUND((D303*108.2%),2)</f>
        <v>1678.26</v>
      </c>
      <c r="F303" s="122">
        <v>114</v>
      </c>
      <c r="G303" s="87">
        <f>H303+J303+L303</f>
        <v>617182</v>
      </c>
      <c r="H303" s="87">
        <f>ROUND((E303*F303),)</f>
        <v>191322</v>
      </c>
      <c r="I303" s="161">
        <f>F303</f>
        <v>114</v>
      </c>
      <c r="J303" s="87">
        <f>ROUND((H303*108%),)</f>
        <v>206628</v>
      </c>
      <c r="K303" s="161">
        <f>F303</f>
        <v>114</v>
      </c>
      <c r="L303" s="87">
        <f>ROUND((J303*106.1%),)</f>
        <v>219232</v>
      </c>
    </row>
    <row r="304" spans="1:12" ht="12.75">
      <c r="A304" s="127"/>
      <c r="B304" s="137" t="s">
        <v>466</v>
      </c>
      <c r="C304" s="137"/>
      <c r="D304" s="128"/>
      <c r="E304" s="102"/>
      <c r="F304" s="122"/>
      <c r="G304" s="87"/>
      <c r="H304" s="87"/>
      <c r="I304" s="161"/>
      <c r="J304" s="87"/>
      <c r="K304" s="161"/>
      <c r="L304" s="87"/>
    </row>
    <row r="305" spans="1:12" ht="12.75">
      <c r="A305" s="127"/>
      <c r="B305" s="137" t="s">
        <v>467</v>
      </c>
      <c r="C305" s="137" t="s">
        <v>465</v>
      </c>
      <c r="D305" s="128">
        <v>1526.87</v>
      </c>
      <c r="E305" s="102">
        <f>ROUND((D305*108.2%),2)</f>
        <v>1652.07</v>
      </c>
      <c r="F305" s="122">
        <v>89</v>
      </c>
      <c r="G305" s="87">
        <f>H305+J305+L305</f>
        <v>474315</v>
      </c>
      <c r="H305" s="87">
        <f>ROUND((E305*F305),)</f>
        <v>147034</v>
      </c>
      <c r="I305" s="161">
        <f>F305</f>
        <v>89</v>
      </c>
      <c r="J305" s="87">
        <f>ROUND((H305*108%),)</f>
        <v>158797</v>
      </c>
      <c r="K305" s="161">
        <f>F305</f>
        <v>89</v>
      </c>
      <c r="L305" s="87">
        <f>ROUND((J305*106.1%),)</f>
        <v>168484</v>
      </c>
    </row>
    <row r="306" spans="1:12" ht="16.5" customHeight="1">
      <c r="A306" s="157">
        <v>2272</v>
      </c>
      <c r="B306" s="157" t="s">
        <v>100</v>
      </c>
      <c r="C306" s="157"/>
      <c r="D306" s="158"/>
      <c r="E306" s="158"/>
      <c r="F306" s="159"/>
      <c r="G306" s="160">
        <f>SUM(G308:G309)</f>
        <v>102924</v>
      </c>
      <c r="H306" s="162">
        <f>SUM(H308:H309)</f>
        <v>31906</v>
      </c>
      <c r="I306" s="163"/>
      <c r="J306" s="162">
        <f>SUM(J308:J309)</f>
        <v>34458</v>
      </c>
      <c r="K306" s="164"/>
      <c r="L306" s="162">
        <f>SUM(L308:L309)</f>
        <v>36560</v>
      </c>
    </row>
    <row r="307" spans="1:12" ht="12.75">
      <c r="A307" s="127"/>
      <c r="B307" s="65" t="s">
        <v>468</v>
      </c>
      <c r="C307" s="65"/>
      <c r="D307" s="121"/>
      <c r="E307" s="121"/>
      <c r="F307" s="150"/>
      <c r="G307" s="151"/>
      <c r="H307" s="151"/>
      <c r="I307" s="151"/>
      <c r="J307" s="151"/>
      <c r="K307" s="151"/>
      <c r="L307" s="151"/>
    </row>
    <row r="308" spans="1:12" ht="12.75">
      <c r="A308" s="127"/>
      <c r="B308" s="65" t="s">
        <v>469</v>
      </c>
      <c r="C308" s="65" t="s">
        <v>470</v>
      </c>
      <c r="D308" s="121">
        <v>11.724</v>
      </c>
      <c r="E308" s="102">
        <f>ROUND((D308*108.2%),2)</f>
        <v>12.69</v>
      </c>
      <c r="F308" s="122">
        <v>1400</v>
      </c>
      <c r="G308" s="87">
        <f>SUM(L308+J308+H308)</f>
        <v>57310</v>
      </c>
      <c r="H308" s="87">
        <f>ROUND((E308*F308),)</f>
        <v>17766</v>
      </c>
      <c r="I308" s="104">
        <f>F308</f>
        <v>1400</v>
      </c>
      <c r="J308" s="87">
        <f>ROUND((H308*108%),)</f>
        <v>19187</v>
      </c>
      <c r="K308" s="104">
        <f>F308</f>
        <v>1400</v>
      </c>
      <c r="L308" s="87">
        <f>ROUND((J308*106.1%),)</f>
        <v>20357</v>
      </c>
    </row>
    <row r="309" spans="1:12" ht="12.75">
      <c r="A309" s="127"/>
      <c r="B309" s="65" t="s">
        <v>471</v>
      </c>
      <c r="C309" s="65" t="s">
        <v>470</v>
      </c>
      <c r="D309" s="121">
        <v>9.336</v>
      </c>
      <c r="E309" s="102">
        <f>ROUND((D309*108.2%),2)</f>
        <v>10.1</v>
      </c>
      <c r="F309" s="122">
        <v>1400</v>
      </c>
      <c r="G309" s="87">
        <f>SUM(L309+J309+H309)</f>
        <v>45614</v>
      </c>
      <c r="H309" s="87">
        <f>ROUND((E309*F309),)</f>
        <v>14140</v>
      </c>
      <c r="I309" s="104">
        <f>F309</f>
        <v>1400</v>
      </c>
      <c r="J309" s="87">
        <f>ROUND((H309*108%),)</f>
        <v>15271</v>
      </c>
      <c r="K309" s="104">
        <f>F309</f>
        <v>1400</v>
      </c>
      <c r="L309" s="87">
        <f>ROUND((J309*106.1%),)</f>
        <v>16203</v>
      </c>
    </row>
    <row r="310" spans="1:12" ht="12.75">
      <c r="A310" s="156">
        <v>2273</v>
      </c>
      <c r="B310" s="157" t="s">
        <v>102</v>
      </c>
      <c r="C310" s="157"/>
      <c r="D310" s="158"/>
      <c r="E310" s="158"/>
      <c r="F310" s="159"/>
      <c r="G310" s="160">
        <f>H310+J310+L310</f>
        <v>1405193</v>
      </c>
      <c r="H310" s="162">
        <f>H312</f>
        <v>435600</v>
      </c>
      <c r="I310" s="163"/>
      <c r="J310" s="160">
        <f>J312</f>
        <v>470448</v>
      </c>
      <c r="K310" s="164"/>
      <c r="L310" s="160">
        <f>L312</f>
        <v>499145</v>
      </c>
    </row>
    <row r="311" spans="1:12" ht="12.75">
      <c r="A311" s="127"/>
      <c r="B311" s="65" t="s">
        <v>472</v>
      </c>
      <c r="C311" s="65"/>
      <c r="D311" s="121"/>
      <c r="E311" s="121"/>
      <c r="F311" s="150"/>
      <c r="G311" s="151"/>
      <c r="H311" s="151"/>
      <c r="I311" s="151"/>
      <c r="J311" s="151"/>
      <c r="K311" s="151"/>
      <c r="L311" s="151"/>
    </row>
    <row r="312" spans="1:12" ht="12.75">
      <c r="A312" s="100"/>
      <c r="B312" s="65" t="s">
        <v>473</v>
      </c>
      <c r="C312" s="65" t="s">
        <v>474</v>
      </c>
      <c r="D312" s="165">
        <v>3.35455</v>
      </c>
      <c r="E312" s="102">
        <f>ROUND((D312*108.2%),2)</f>
        <v>3.63</v>
      </c>
      <c r="F312" s="122">
        <v>120000</v>
      </c>
      <c r="G312" s="87">
        <f>SUM(L312+J312+H312)</f>
        <v>1405193</v>
      </c>
      <c r="H312" s="87">
        <f>ROUND((E312*F312),)</f>
        <v>435600</v>
      </c>
      <c r="I312" s="104">
        <f>F312</f>
        <v>120000</v>
      </c>
      <c r="J312" s="87">
        <f>ROUND((H312*108%),)</f>
        <v>470448</v>
      </c>
      <c r="K312" s="104">
        <f>F312</f>
        <v>120000</v>
      </c>
      <c r="L312" s="87">
        <f>ROUND((J312*106.1%),)</f>
        <v>499145</v>
      </c>
    </row>
    <row r="313" spans="1:12" ht="12.75">
      <c r="A313" s="156">
        <v>2274</v>
      </c>
      <c r="B313" s="166" t="s">
        <v>104</v>
      </c>
      <c r="C313" s="157"/>
      <c r="D313" s="167"/>
      <c r="E313" s="167"/>
      <c r="F313" s="159"/>
      <c r="G313" s="160">
        <f>G315+G317</f>
        <v>80838</v>
      </c>
      <c r="H313" s="160">
        <f>H315+H317</f>
        <v>25059</v>
      </c>
      <c r="I313" s="160"/>
      <c r="J313" s="160">
        <f>J315+J317</f>
        <v>27064</v>
      </c>
      <c r="K313" s="168"/>
      <c r="L313" s="168">
        <f>L315+L317</f>
        <v>28715</v>
      </c>
    </row>
    <row r="314" spans="1:12" ht="12.75">
      <c r="A314" s="127"/>
      <c r="B314" s="137" t="s">
        <v>475</v>
      </c>
      <c r="C314" s="169"/>
      <c r="D314" s="170"/>
      <c r="E314" s="170"/>
      <c r="F314" s="150"/>
      <c r="G314" s="151"/>
      <c r="H314" s="151"/>
      <c r="I314" s="151"/>
      <c r="J314" s="151"/>
      <c r="K314" s="171"/>
      <c r="L314" s="172"/>
    </row>
    <row r="315" spans="1:12" ht="12.75">
      <c r="A315" s="100"/>
      <c r="B315" s="65" t="s">
        <v>476</v>
      </c>
      <c r="C315" s="173" t="s">
        <v>470</v>
      </c>
      <c r="D315" s="121">
        <v>6594.4</v>
      </c>
      <c r="E315" s="102">
        <f>ROUND((D315*108.2%),2)</f>
        <v>7135.14</v>
      </c>
      <c r="F315" s="122">
        <v>3.1</v>
      </c>
      <c r="G315" s="87">
        <f>SUM(L315+J315+H315)</f>
        <v>71354</v>
      </c>
      <c r="H315" s="87">
        <f>ROUND((E315*F315),)</f>
        <v>22119</v>
      </c>
      <c r="I315" s="161">
        <f>F315</f>
        <v>3.1</v>
      </c>
      <c r="J315" s="87">
        <f>ROUND((H315*108%),)</f>
        <v>23889</v>
      </c>
      <c r="K315" s="161">
        <f>F315</f>
        <v>3.1</v>
      </c>
      <c r="L315" s="87">
        <f>ROUND((J315*106.1%),)</f>
        <v>25346</v>
      </c>
    </row>
    <row r="316" spans="1:12" ht="26.25">
      <c r="A316" s="127"/>
      <c r="B316" s="137" t="s">
        <v>477</v>
      </c>
      <c r="C316" s="169"/>
      <c r="D316" s="121"/>
      <c r="E316" s="102"/>
      <c r="F316" s="122"/>
      <c r="G316" s="87"/>
      <c r="H316" s="87"/>
      <c r="I316" s="161"/>
      <c r="J316" s="87"/>
      <c r="K316" s="161"/>
      <c r="L316" s="87"/>
    </row>
    <row r="317" spans="1:12" ht="12.75">
      <c r="A317" s="127"/>
      <c r="B317" s="137" t="s">
        <v>478</v>
      </c>
      <c r="C317" s="169" t="s">
        <v>470</v>
      </c>
      <c r="D317" s="121">
        <v>876.6</v>
      </c>
      <c r="E317" s="102">
        <f>ROUND((D317*108.2%),2)</f>
        <v>948.48</v>
      </c>
      <c r="F317" s="122">
        <v>3.1</v>
      </c>
      <c r="G317" s="87">
        <f>SUM(L317+J317+H317)</f>
        <v>9484</v>
      </c>
      <c r="H317" s="87">
        <f>ROUND((E317*F317),)</f>
        <v>2940</v>
      </c>
      <c r="I317" s="161">
        <f>F317</f>
        <v>3.1</v>
      </c>
      <c r="J317" s="87">
        <f>ROUND((H317*108%),)</f>
        <v>3175</v>
      </c>
      <c r="K317" s="161">
        <f>F317</f>
        <v>3.1</v>
      </c>
      <c r="L317" s="87">
        <f>ROUND((J317*106.1%),)</f>
        <v>3369</v>
      </c>
    </row>
    <row r="318" spans="1:12" ht="12.75">
      <c r="A318" s="156">
        <v>2275</v>
      </c>
      <c r="B318" s="166" t="s">
        <v>479</v>
      </c>
      <c r="C318" s="157"/>
      <c r="D318" s="167"/>
      <c r="E318" s="167"/>
      <c r="F318" s="159"/>
      <c r="G318" s="160">
        <f>H318+J318+L318</f>
        <v>16885</v>
      </c>
      <c r="H318" s="162">
        <f>H319</f>
        <v>5234</v>
      </c>
      <c r="I318" s="163"/>
      <c r="J318" s="160">
        <f>J319</f>
        <v>5653</v>
      </c>
      <c r="K318" s="164"/>
      <c r="L318" s="160">
        <f>L319</f>
        <v>5998</v>
      </c>
    </row>
    <row r="319" spans="1:12" s="99" customFormat="1" ht="12.75">
      <c r="A319" s="127"/>
      <c r="B319" s="137" t="s">
        <v>480</v>
      </c>
      <c r="C319" s="137" t="s">
        <v>405</v>
      </c>
      <c r="D319" s="121">
        <v>403.08</v>
      </c>
      <c r="E319" s="102">
        <f>ROUND((D319*108.2%),2)</f>
        <v>436.13</v>
      </c>
      <c r="F319" s="122">
        <v>12</v>
      </c>
      <c r="G319" s="151">
        <f>H319+J319+L319</f>
        <v>16885</v>
      </c>
      <c r="H319" s="87">
        <f>ROUND((E319*F319),)</f>
        <v>5234</v>
      </c>
      <c r="I319" s="104">
        <f>F319</f>
        <v>12</v>
      </c>
      <c r="J319" s="87">
        <f>ROUND((H319*108%),)</f>
        <v>5653</v>
      </c>
      <c r="K319" s="104">
        <f>F319</f>
        <v>12</v>
      </c>
      <c r="L319" s="87">
        <f>ROUND((J319*106.1%),)</f>
        <v>5998</v>
      </c>
    </row>
    <row r="320" spans="1:12" ht="39">
      <c r="A320" s="153">
        <v>2282</v>
      </c>
      <c r="B320" s="174" t="s">
        <v>481</v>
      </c>
      <c r="C320" s="175"/>
      <c r="D320" s="176"/>
      <c r="E320" s="176"/>
      <c r="F320" s="132"/>
      <c r="G320" s="148">
        <f>H320+J320+L320</f>
        <v>91934</v>
      </c>
      <c r="H320" s="149">
        <f>SUM(H322:H326)</f>
        <v>37696</v>
      </c>
      <c r="I320" s="149"/>
      <c r="J320" s="149">
        <f>SUM(J322:J326)</f>
        <v>26445</v>
      </c>
      <c r="K320" s="175"/>
      <c r="L320" s="149">
        <f>SUM(L322:L326)</f>
        <v>27793</v>
      </c>
    </row>
    <row r="321" spans="1:12" ht="12.75">
      <c r="A321" s="63"/>
      <c r="B321" s="177" t="s">
        <v>482</v>
      </c>
      <c r="C321" s="104"/>
      <c r="D321" s="170"/>
      <c r="E321" s="170"/>
      <c r="F321" s="150"/>
      <c r="G321" s="151"/>
      <c r="H321" s="152"/>
      <c r="I321" s="152"/>
      <c r="J321" s="151"/>
      <c r="K321" s="171"/>
      <c r="L321" s="172"/>
    </row>
    <row r="322" spans="1:12" ht="12.75">
      <c r="A322" s="63"/>
      <c r="B322" s="178" t="s">
        <v>483</v>
      </c>
      <c r="C322" s="104" t="s">
        <v>484</v>
      </c>
      <c r="D322" s="170">
        <v>510</v>
      </c>
      <c r="E322" s="102">
        <f>ROUND((D322*106%),)</f>
        <v>541</v>
      </c>
      <c r="F322" s="122">
        <v>7</v>
      </c>
      <c r="G322" s="87">
        <f>SUM(L322+J322+H322)</f>
        <v>11966</v>
      </c>
      <c r="H322" s="87">
        <f>ROUND((E322*F322),)</f>
        <v>3787</v>
      </c>
      <c r="I322" s="104">
        <f>F322</f>
        <v>7</v>
      </c>
      <c r="J322" s="87">
        <f>ROUND((H322*105.3%),)</f>
        <v>3988</v>
      </c>
      <c r="K322" s="104">
        <f>F322</f>
        <v>7</v>
      </c>
      <c r="L322" s="87">
        <f>ROUND((J322*105.1%),)</f>
        <v>4191</v>
      </c>
    </row>
    <row r="323" spans="1:12" ht="12.75">
      <c r="A323" s="63"/>
      <c r="B323" s="178" t="s">
        <v>485</v>
      </c>
      <c r="C323" s="104" t="s">
        <v>484</v>
      </c>
      <c r="D323" s="170">
        <v>380</v>
      </c>
      <c r="E323" s="102">
        <f>ROUND((D323*106%),2)</f>
        <v>402.8</v>
      </c>
      <c r="F323" s="122">
        <v>24</v>
      </c>
      <c r="G323" s="87">
        <f>SUM(L323+J323+H323)</f>
        <v>30544</v>
      </c>
      <c r="H323" s="87">
        <f>ROUND((E323*F323),)</f>
        <v>9667</v>
      </c>
      <c r="I323" s="104">
        <f>F323</f>
        <v>24</v>
      </c>
      <c r="J323" s="87">
        <f>ROUND((H323*105.3%),)</f>
        <v>10179</v>
      </c>
      <c r="K323" s="104">
        <f>F323</f>
        <v>24</v>
      </c>
      <c r="L323" s="87">
        <f>ROUND((J323*105.1%),)</f>
        <v>10698</v>
      </c>
    </row>
    <row r="324" spans="1:12" ht="12.75">
      <c r="A324" s="63"/>
      <c r="B324" s="178" t="s">
        <v>486</v>
      </c>
      <c r="C324" s="104" t="s">
        <v>484</v>
      </c>
      <c r="D324" s="170">
        <v>380</v>
      </c>
      <c r="E324" s="102">
        <f>ROUND((D324*106%),2)</f>
        <v>402.8</v>
      </c>
      <c r="F324" s="122">
        <v>24</v>
      </c>
      <c r="G324" s="87">
        <f>SUM(L324+J324+H324)</f>
        <v>9667</v>
      </c>
      <c r="H324" s="87">
        <f>ROUND((E324*F324),)</f>
        <v>9667</v>
      </c>
      <c r="I324" s="104"/>
      <c r="J324" s="87"/>
      <c r="K324" s="104"/>
      <c r="L324" s="87"/>
    </row>
    <row r="325" spans="1:12" ht="12.75">
      <c r="A325" s="63"/>
      <c r="B325" s="178" t="s">
        <v>487</v>
      </c>
      <c r="C325" s="104" t="s">
        <v>484</v>
      </c>
      <c r="D325" s="170">
        <v>550</v>
      </c>
      <c r="E325" s="102">
        <f>ROUND((D325*106%),2)</f>
        <v>583</v>
      </c>
      <c r="F325" s="122">
        <v>5</v>
      </c>
      <c r="G325" s="87">
        <f>SUM(L325+J325+H325)</f>
        <v>2915</v>
      </c>
      <c r="H325" s="87">
        <f>ROUND((E325*F325),)</f>
        <v>2915</v>
      </c>
      <c r="I325" s="104"/>
      <c r="J325" s="87"/>
      <c r="K325" s="104"/>
      <c r="L325" s="87"/>
    </row>
    <row r="326" spans="1:12" ht="12.75">
      <c r="A326" s="63"/>
      <c r="B326" s="178" t="s">
        <v>488</v>
      </c>
      <c r="C326" s="104" t="s">
        <v>484</v>
      </c>
      <c r="D326" s="170">
        <v>2200</v>
      </c>
      <c r="E326" s="102">
        <f>ROUND((D326*106%),2)</f>
        <v>2332</v>
      </c>
      <c r="F326" s="122">
        <v>5</v>
      </c>
      <c r="G326" s="87">
        <f>SUM(L326+J326+H326)</f>
        <v>36842</v>
      </c>
      <c r="H326" s="87">
        <f>ROUND((E326*F326),)</f>
        <v>11660</v>
      </c>
      <c r="I326" s="104">
        <f>F326</f>
        <v>5</v>
      </c>
      <c r="J326" s="87">
        <f>ROUND((H326*105.3%),)</f>
        <v>12278</v>
      </c>
      <c r="K326" s="104">
        <f>F326</f>
        <v>5</v>
      </c>
      <c r="L326" s="87">
        <f>ROUND((J326*105.1%),)</f>
        <v>12904</v>
      </c>
    </row>
    <row r="327" spans="1:12" ht="12.75">
      <c r="A327" s="129">
        <v>2800</v>
      </c>
      <c r="B327" s="130" t="s">
        <v>108</v>
      </c>
      <c r="C327" s="130"/>
      <c r="D327" s="176"/>
      <c r="E327" s="176"/>
      <c r="F327" s="132"/>
      <c r="G327" s="148">
        <f>G328+G329+G330</f>
        <v>1011231</v>
      </c>
      <c r="H327" s="148">
        <f>H328+H329+H330</f>
        <v>194681</v>
      </c>
      <c r="I327" s="149"/>
      <c r="J327" s="148">
        <f>J328+J329+J330</f>
        <v>401263</v>
      </c>
      <c r="K327" s="175"/>
      <c r="L327" s="148">
        <f>L328+L329+L330</f>
        <v>415287</v>
      </c>
    </row>
    <row r="328" spans="1:12" ht="12.75">
      <c r="A328" s="127"/>
      <c r="B328" s="137" t="s">
        <v>489</v>
      </c>
      <c r="C328" s="137"/>
      <c r="D328" s="170"/>
      <c r="E328" s="170">
        <v>70</v>
      </c>
      <c r="F328" s="150">
        <v>1</v>
      </c>
      <c r="G328" s="87">
        <f>SUM(L328+J328+H328)</f>
        <v>222</v>
      </c>
      <c r="H328" s="87">
        <f>ROUND((E328*F328),)</f>
        <v>70</v>
      </c>
      <c r="I328" s="104">
        <f>F328</f>
        <v>1</v>
      </c>
      <c r="J328" s="87">
        <f>ROUND((H328*105.3%),)</f>
        <v>74</v>
      </c>
      <c r="K328" s="104">
        <f>F328</f>
        <v>1</v>
      </c>
      <c r="L328" s="87">
        <f>ROUND((J328*105.1%),)</f>
        <v>78</v>
      </c>
    </row>
    <row r="329" spans="1:12" ht="12.75">
      <c r="A329" s="127"/>
      <c r="B329" s="137" t="s">
        <v>537</v>
      </c>
      <c r="C329" s="137"/>
      <c r="D329" s="170">
        <v>1921</v>
      </c>
      <c r="E329" s="102">
        <f>ROUND((D329*106%),)*0+2020</f>
        <v>2020</v>
      </c>
      <c r="F329" s="150">
        <v>30</v>
      </c>
      <c r="G329" s="87">
        <f>SUM(L329+J329+H329)</f>
        <v>608394</v>
      </c>
      <c r="H329" s="87">
        <f>ROUND((E329*F329),)-600</f>
        <v>60000</v>
      </c>
      <c r="I329" s="104">
        <v>126</v>
      </c>
      <c r="J329" s="87">
        <f>ROUND((H329*105.3%/30*I329),)*0+268010-631</f>
        <v>267379</v>
      </c>
      <c r="K329" s="104">
        <v>126</v>
      </c>
      <c r="L329" s="87">
        <f>ROUND((J329*105.1%),)</f>
        <v>281015</v>
      </c>
    </row>
    <row r="330" spans="1:12" ht="81" customHeight="1">
      <c r="A330" s="127"/>
      <c r="B330" s="137" t="s">
        <v>490</v>
      </c>
      <c r="C330" s="137"/>
      <c r="D330" s="170"/>
      <c r="E330" s="102"/>
      <c r="F330" s="150"/>
      <c r="G330" s="151">
        <f>H330+J330+L330</f>
        <v>402615</v>
      </c>
      <c r="H330" s="152">
        <f>ROUND((H7*0.3%),)</f>
        <v>134611</v>
      </c>
      <c r="I330" s="152"/>
      <c r="J330" s="152">
        <f>ROUND((I62*0.3%),)</f>
        <v>133810</v>
      </c>
      <c r="K330" s="171"/>
      <c r="L330" s="152">
        <f>ROUND((K62*0.3%),)</f>
        <v>134194</v>
      </c>
    </row>
    <row r="331" spans="1:12" ht="13.5" thickBot="1">
      <c r="A331" s="179">
        <v>2000</v>
      </c>
      <c r="B331" s="180" t="s">
        <v>491</v>
      </c>
      <c r="C331" s="180"/>
      <c r="D331" s="181"/>
      <c r="E331" s="181"/>
      <c r="F331" s="182"/>
      <c r="G331" s="183">
        <f>G327+G6+G69</f>
        <v>178137028</v>
      </c>
      <c r="H331" s="183">
        <f>H327+H6+H69</f>
        <v>57331600</v>
      </c>
      <c r="I331" s="184"/>
      <c r="J331" s="183">
        <f>I6+J69+J327</f>
        <v>59605769</v>
      </c>
      <c r="K331" s="185"/>
      <c r="L331" s="183">
        <f>K6+L69+L327</f>
        <v>61872036</v>
      </c>
    </row>
    <row r="332" spans="10:12" ht="12.75">
      <c r="J332" s="41">
        <f>59606400-631</f>
        <v>59605769</v>
      </c>
      <c r="L332" s="42">
        <f>61872700-664</f>
        <v>61872036</v>
      </c>
    </row>
    <row r="333" spans="10:12" ht="12.75">
      <c r="J333" s="41">
        <f>J331-J332</f>
        <v>0</v>
      </c>
      <c r="L333" s="42">
        <f>L332-L331</f>
        <v>0</v>
      </c>
    </row>
    <row r="337" spans="1:7" ht="15">
      <c r="A337" s="189"/>
      <c r="B337" s="189"/>
      <c r="C337" s="190"/>
      <c r="D337" s="190"/>
      <c r="E337" s="191"/>
      <c r="F337" s="192"/>
      <c r="G337" s="189"/>
    </row>
    <row r="338" spans="1:8" ht="15">
      <c r="A338" s="189"/>
      <c r="B338" s="190" t="s">
        <v>492</v>
      </c>
      <c r="C338" s="193"/>
      <c r="D338" s="193"/>
      <c r="E338" s="194"/>
      <c r="F338" s="195"/>
      <c r="G338" s="196"/>
      <c r="H338" s="192" t="s">
        <v>493</v>
      </c>
    </row>
    <row r="339" spans="1:7" ht="15">
      <c r="A339" s="197"/>
      <c r="B339" s="198"/>
      <c r="C339" s="198"/>
      <c r="D339" s="198"/>
      <c r="E339" s="199"/>
      <c r="F339" s="199"/>
      <c r="G339" s="197"/>
    </row>
    <row r="340" spans="1:7" ht="15">
      <c r="A340" s="197"/>
      <c r="B340" s="198"/>
      <c r="C340" s="198"/>
      <c r="D340" s="198"/>
      <c r="E340" s="199"/>
      <c r="F340" s="199"/>
      <c r="G340" s="197"/>
    </row>
    <row r="341" spans="1:8" ht="15">
      <c r="A341" s="189"/>
      <c r="B341" s="200" t="s">
        <v>494</v>
      </c>
      <c r="C341" s="201"/>
      <c r="D341" s="201"/>
      <c r="E341" s="194"/>
      <c r="F341" s="195"/>
      <c r="G341" s="196"/>
      <c r="H341" s="192" t="s">
        <v>495</v>
      </c>
    </row>
    <row r="342" spans="1:7" ht="15">
      <c r="A342" s="189"/>
      <c r="B342" s="200" t="s">
        <v>496</v>
      </c>
      <c r="C342" s="200"/>
      <c r="D342" s="200"/>
      <c r="E342" s="202"/>
      <c r="F342" s="202"/>
      <c r="G342" s="189"/>
    </row>
    <row r="347" ht="12.75">
      <c r="A347" s="35" t="s">
        <v>497</v>
      </c>
    </row>
    <row r="348" ht="12.75">
      <c r="B348" s="35" t="s">
        <v>498</v>
      </c>
    </row>
  </sheetData>
  <sheetProtection/>
  <mergeCells count="106">
    <mergeCell ref="A1:L1"/>
    <mergeCell ref="A2:L2"/>
    <mergeCell ref="A3:L3"/>
    <mergeCell ref="K5:L5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  <mergeCell ref="I34:J34"/>
    <mergeCell ref="K34:L34"/>
    <mergeCell ref="I35:J35"/>
    <mergeCell ref="K35:L35"/>
    <mergeCell ref="I36:J36"/>
    <mergeCell ref="K36:L36"/>
    <mergeCell ref="I37:J37"/>
    <mergeCell ref="K37:L37"/>
    <mergeCell ref="I38:J38"/>
    <mergeCell ref="K38:L38"/>
    <mergeCell ref="I39:J39"/>
    <mergeCell ref="K39:L39"/>
    <mergeCell ref="I40:J40"/>
    <mergeCell ref="K40:L40"/>
    <mergeCell ref="I41:J41"/>
    <mergeCell ref="K41:L41"/>
    <mergeCell ref="I43:J43"/>
    <mergeCell ref="K43:L43"/>
    <mergeCell ref="I45:J45"/>
    <mergeCell ref="K45:L45"/>
    <mergeCell ref="I47:J47"/>
    <mergeCell ref="K47:L47"/>
    <mergeCell ref="I48:J48"/>
    <mergeCell ref="K48:L48"/>
    <mergeCell ref="I49:J49"/>
    <mergeCell ref="K49:L49"/>
    <mergeCell ref="I50:J50"/>
    <mergeCell ref="K50:L50"/>
    <mergeCell ref="I51:J51"/>
    <mergeCell ref="K51:L51"/>
    <mergeCell ref="I52:J52"/>
    <mergeCell ref="K52:L52"/>
    <mergeCell ref="I53:J53"/>
    <mergeCell ref="K53:L53"/>
    <mergeCell ref="I54:J54"/>
    <mergeCell ref="K54:L54"/>
    <mergeCell ref="I55:J55"/>
    <mergeCell ref="K55:L55"/>
    <mergeCell ref="I56:J56"/>
    <mergeCell ref="K56:L56"/>
    <mergeCell ref="I60:J60"/>
    <mergeCell ref="K60:L60"/>
    <mergeCell ref="I61:J61"/>
    <mergeCell ref="K61:L61"/>
    <mergeCell ref="I57:J57"/>
    <mergeCell ref="K57:L57"/>
    <mergeCell ref="I58:J58"/>
    <mergeCell ref="K58:L58"/>
    <mergeCell ref="I59:J59"/>
    <mergeCell ref="K59:L5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4">
      <selection activeCell="B16" sqref="B16"/>
    </sheetView>
  </sheetViews>
  <sheetFormatPr defaultColWidth="9.140625" defaultRowHeight="15"/>
  <cols>
    <col min="1" max="1" width="8.00390625" style="189" customWidth="1"/>
    <col min="2" max="2" width="36.421875" style="189" customWidth="1"/>
    <col min="3" max="4" width="9.140625" style="189" customWidth="1"/>
    <col min="5" max="5" width="12.8515625" style="252" customWidth="1"/>
    <col min="6" max="6" width="13.8515625" style="254" customWidth="1"/>
    <col min="7" max="16384" width="9.140625" style="189" customWidth="1"/>
  </cols>
  <sheetData>
    <row r="1" spans="1:6" ht="15">
      <c r="A1" s="468" t="str">
        <f>'[1] 0810160  ЗФ 20-22'!A1:L1</f>
        <v>Департамент праці та соціального захисту населення Миколаївської міської ради</v>
      </c>
      <c r="B1" s="468"/>
      <c r="C1" s="468"/>
      <c r="D1" s="468"/>
      <c r="E1" s="468"/>
      <c r="F1" s="468"/>
    </row>
    <row r="2" spans="1:6" ht="15">
      <c r="A2" s="469" t="s">
        <v>637</v>
      </c>
      <c r="B2" s="469"/>
      <c r="C2" s="469"/>
      <c r="D2" s="469"/>
      <c r="E2" s="469"/>
      <c r="F2" s="469"/>
    </row>
    <row r="3" spans="1:6" ht="15">
      <c r="A3" s="221"/>
      <c r="B3" s="221"/>
      <c r="C3" s="221"/>
      <c r="D3" s="221"/>
      <c r="E3" s="221"/>
      <c r="F3" s="221"/>
    </row>
    <row r="4" spans="1:6" ht="15.75" thickBot="1">
      <c r="A4" s="221"/>
      <c r="B4" s="470"/>
      <c r="C4" s="470"/>
      <c r="D4" s="470"/>
      <c r="E4" s="470"/>
      <c r="F4" s="222" t="s">
        <v>82</v>
      </c>
    </row>
    <row r="5" spans="1:6" ht="26.25">
      <c r="A5" s="223" t="s">
        <v>510</v>
      </c>
      <c r="B5" s="224" t="s">
        <v>34</v>
      </c>
      <c r="C5" s="225"/>
      <c r="D5" s="226" t="s">
        <v>511</v>
      </c>
      <c r="E5" s="227" t="s">
        <v>512</v>
      </c>
      <c r="F5" s="228" t="s">
        <v>178</v>
      </c>
    </row>
    <row r="6" spans="1:6" ht="15">
      <c r="A6" s="229">
        <v>3000</v>
      </c>
      <c r="B6" s="230" t="s">
        <v>513</v>
      </c>
      <c r="C6" s="231"/>
      <c r="D6" s="231"/>
      <c r="E6" s="232"/>
      <c r="F6" s="233">
        <f>F7</f>
        <v>397200</v>
      </c>
    </row>
    <row r="7" spans="1:6" ht="15">
      <c r="A7" s="229">
        <v>3100</v>
      </c>
      <c r="B7" s="230" t="s">
        <v>514</v>
      </c>
      <c r="C7" s="231"/>
      <c r="D7" s="231"/>
      <c r="E7" s="232"/>
      <c r="F7" s="233">
        <f>F8</f>
        <v>397200</v>
      </c>
    </row>
    <row r="8" spans="1:6" ht="26.25">
      <c r="A8" s="229">
        <v>3110</v>
      </c>
      <c r="B8" s="230" t="s">
        <v>515</v>
      </c>
      <c r="C8" s="231"/>
      <c r="D8" s="231"/>
      <c r="E8" s="232"/>
      <c r="F8" s="233">
        <f>SUM(F9:F14)</f>
        <v>397200</v>
      </c>
    </row>
    <row r="9" spans="1:6" ht="30.75" customHeight="1">
      <c r="A9" s="234"/>
      <c r="B9" s="105" t="s">
        <v>516</v>
      </c>
      <c r="C9" s="235" t="s">
        <v>312</v>
      </c>
      <c r="D9" s="236">
        <v>10</v>
      </c>
      <c r="E9" s="237">
        <v>15200</v>
      </c>
      <c r="F9" s="238">
        <f aca="true" t="shared" si="0" ref="F9:F14">D9*E9</f>
        <v>152000</v>
      </c>
    </row>
    <row r="10" spans="1:6" ht="24" customHeight="1">
      <c r="A10" s="234"/>
      <c r="B10" s="105" t="s">
        <v>553</v>
      </c>
      <c r="C10" s="235" t="s">
        <v>312</v>
      </c>
      <c r="D10" s="236">
        <v>1</v>
      </c>
      <c r="E10" s="237">
        <v>25400</v>
      </c>
      <c r="F10" s="238">
        <f t="shared" si="0"/>
        <v>25400</v>
      </c>
    </row>
    <row r="11" spans="1:6" ht="15">
      <c r="A11" s="234"/>
      <c r="B11" s="105" t="s">
        <v>518</v>
      </c>
      <c r="C11" s="235" t="s">
        <v>312</v>
      </c>
      <c r="D11" s="236">
        <v>3</v>
      </c>
      <c r="E11" s="237">
        <v>9000</v>
      </c>
      <c r="F11" s="238">
        <f t="shared" si="0"/>
        <v>27000</v>
      </c>
    </row>
    <row r="12" spans="1:6" s="239" customFormat="1" ht="12.75">
      <c r="A12" s="234"/>
      <c r="B12" s="101" t="s">
        <v>519</v>
      </c>
      <c r="C12" s="235" t="s">
        <v>312</v>
      </c>
      <c r="D12" s="236">
        <v>3</v>
      </c>
      <c r="E12" s="237">
        <v>8000</v>
      </c>
      <c r="F12" s="238">
        <f t="shared" si="0"/>
        <v>24000</v>
      </c>
    </row>
    <row r="13" spans="1:6" s="244" customFormat="1" ht="12.75">
      <c r="A13" s="240"/>
      <c r="B13" s="101" t="s">
        <v>520</v>
      </c>
      <c r="C13" s="241" t="s">
        <v>230</v>
      </c>
      <c r="D13" s="242">
        <v>15</v>
      </c>
      <c r="E13" s="102">
        <v>9000</v>
      </c>
      <c r="F13" s="243">
        <f t="shared" si="0"/>
        <v>135000</v>
      </c>
    </row>
    <row r="14" spans="1:6" s="244" customFormat="1" ht="12.75">
      <c r="A14" s="240"/>
      <c r="B14" s="101" t="s">
        <v>521</v>
      </c>
      <c r="C14" s="241" t="s">
        <v>230</v>
      </c>
      <c r="D14" s="242">
        <v>2</v>
      </c>
      <c r="E14" s="102">
        <v>16900</v>
      </c>
      <c r="F14" s="243">
        <f t="shared" si="0"/>
        <v>33800</v>
      </c>
    </row>
    <row r="15" spans="1:6" ht="29.25" customHeight="1">
      <c r="A15" s="229">
        <v>3160</v>
      </c>
      <c r="B15" s="230" t="s">
        <v>630</v>
      </c>
      <c r="C15" s="231"/>
      <c r="D15" s="231"/>
      <c r="E15" s="232"/>
      <c r="F15" s="233">
        <v>120000</v>
      </c>
    </row>
    <row r="16" spans="1:6" ht="45" customHeight="1" thickBot="1">
      <c r="A16" s="234"/>
      <c r="B16" s="105" t="s">
        <v>638</v>
      </c>
      <c r="C16" s="235" t="s">
        <v>312</v>
      </c>
      <c r="D16" s="236">
        <v>1</v>
      </c>
      <c r="E16" s="237">
        <v>120000</v>
      </c>
      <c r="F16" s="238">
        <f>D16*E16</f>
        <v>120000</v>
      </c>
    </row>
    <row r="17" spans="1:6" ht="15" thickBot="1">
      <c r="A17" s="245"/>
      <c r="B17" s="246" t="s">
        <v>522</v>
      </c>
      <c r="C17" s="247"/>
      <c r="D17" s="247">
        <f>SUM(D9:D16)</f>
        <v>35</v>
      </c>
      <c r="E17" s="248"/>
      <c r="F17" s="249">
        <f>SUM(F9:F15)</f>
        <v>517200</v>
      </c>
    </row>
    <row r="18" spans="1:6" ht="15">
      <c r="A18" s="250"/>
      <c r="B18" s="250"/>
      <c r="C18" s="250"/>
      <c r="D18" s="250"/>
      <c r="E18" s="251"/>
      <c r="F18" s="251"/>
    </row>
    <row r="19" spans="3:6" ht="15">
      <c r="C19" s="190"/>
      <c r="D19" s="190"/>
      <c r="E19" s="191"/>
      <c r="F19" s="192"/>
    </row>
    <row r="20" spans="3:6" ht="15">
      <c r="C20" s="190"/>
      <c r="D20" s="190"/>
      <c r="E20" s="191"/>
      <c r="F20" s="192"/>
    </row>
    <row r="21" spans="1:7" s="197" customFormat="1" ht="15">
      <c r="A21" s="189"/>
      <c r="B21" s="190" t="s">
        <v>492</v>
      </c>
      <c r="C21" s="193"/>
      <c r="D21" s="193"/>
      <c r="E21" s="192" t="s">
        <v>493</v>
      </c>
      <c r="F21" s="192"/>
      <c r="G21" s="189"/>
    </row>
    <row r="22" spans="2:6" s="197" customFormat="1" ht="15">
      <c r="B22" s="198"/>
      <c r="C22" s="198"/>
      <c r="D22" s="198"/>
      <c r="E22" s="199"/>
      <c r="F22" s="199"/>
    </row>
    <row r="23" spans="1:7" ht="15">
      <c r="A23" s="197"/>
      <c r="B23" s="198"/>
      <c r="C23" s="198"/>
      <c r="D23" s="198"/>
      <c r="E23" s="199"/>
      <c r="F23" s="199"/>
      <c r="G23" s="197"/>
    </row>
    <row r="24" spans="2:6" ht="15">
      <c r="B24" s="200" t="s">
        <v>494</v>
      </c>
      <c r="C24" s="201"/>
      <c r="D24" s="201"/>
      <c r="E24" s="192" t="s">
        <v>495</v>
      </c>
      <c r="F24" s="192"/>
    </row>
    <row r="25" spans="2:6" ht="15">
      <c r="B25" s="200" t="s">
        <v>496</v>
      </c>
      <c r="C25" s="200"/>
      <c r="D25" s="200"/>
      <c r="E25" s="202"/>
      <c r="F25" s="202"/>
    </row>
    <row r="26" spans="1:7" ht="15">
      <c r="A26" s="35"/>
      <c r="B26" s="35"/>
      <c r="C26" s="35"/>
      <c r="D26" s="186"/>
      <c r="E26" s="186"/>
      <c r="F26" s="187"/>
      <c r="G26" s="41"/>
    </row>
    <row r="27" spans="1:7" ht="15">
      <c r="A27" s="35"/>
      <c r="B27" s="35"/>
      <c r="C27" s="35"/>
      <c r="D27" s="186"/>
      <c r="E27" s="186"/>
      <c r="F27" s="187"/>
      <c r="G27" s="41"/>
    </row>
    <row r="28" spans="1:7" ht="15">
      <c r="A28" s="35"/>
      <c r="B28" s="35"/>
      <c r="C28" s="35"/>
      <c r="D28" s="186"/>
      <c r="E28" s="186"/>
      <c r="F28" s="187"/>
      <c r="G28" s="41"/>
    </row>
    <row r="29" spans="1:7" ht="15">
      <c r="A29" s="35"/>
      <c r="B29" s="35"/>
      <c r="C29" s="35"/>
      <c r="D29" s="186"/>
      <c r="E29" s="186"/>
      <c r="F29" s="187"/>
      <c r="G29" s="41"/>
    </row>
    <row r="30" spans="1:7" ht="15">
      <c r="A30" s="35" t="s">
        <v>497</v>
      </c>
      <c r="B30" s="35"/>
      <c r="C30" s="35"/>
      <c r="D30" s="186"/>
      <c r="E30" s="186"/>
      <c r="F30" s="187"/>
      <c r="G30" s="41"/>
    </row>
    <row r="31" spans="1:7" ht="15">
      <c r="A31" s="35"/>
      <c r="B31" s="35" t="s">
        <v>498</v>
      </c>
      <c r="C31" s="35"/>
      <c r="D31" s="186"/>
      <c r="E31" s="186"/>
      <c r="F31" s="187"/>
      <c r="G31" s="41"/>
    </row>
    <row r="32" spans="1:7" ht="15">
      <c r="A32" s="35"/>
      <c r="B32" s="35"/>
      <c r="C32" s="35"/>
      <c r="D32" s="186"/>
      <c r="E32" s="186"/>
      <c r="F32" s="187"/>
      <c r="G32" s="41"/>
    </row>
    <row r="33" spans="1:7" ht="15">
      <c r="A33" s="35"/>
      <c r="B33" s="35"/>
      <c r="C33" s="35"/>
      <c r="D33" s="186"/>
      <c r="E33" s="186"/>
      <c r="F33" s="187"/>
      <c r="G33" s="41"/>
    </row>
    <row r="34" spans="1:7" ht="15">
      <c r="A34" s="35"/>
      <c r="B34" s="35"/>
      <c r="C34" s="35"/>
      <c r="D34" s="186"/>
      <c r="E34" s="186"/>
      <c r="F34" s="187"/>
      <c r="G34" s="41"/>
    </row>
    <row r="35" ht="15">
      <c r="F35" s="253"/>
    </row>
    <row r="36" ht="15">
      <c r="F36" s="253"/>
    </row>
    <row r="37" ht="15">
      <c r="F37" s="253"/>
    </row>
    <row r="38" ht="15">
      <c r="F38" s="253"/>
    </row>
    <row r="39" ht="15">
      <c r="F39" s="253"/>
    </row>
    <row r="40" ht="15">
      <c r="F40" s="253"/>
    </row>
    <row r="41" ht="15">
      <c r="F41" s="253"/>
    </row>
    <row r="42" ht="15">
      <c r="F42" s="253"/>
    </row>
    <row r="43" ht="15">
      <c r="F43" s="253"/>
    </row>
    <row r="44" ht="15">
      <c r="F44" s="253"/>
    </row>
    <row r="45" ht="15">
      <c r="F45" s="253"/>
    </row>
    <row r="46" ht="15">
      <c r="F46" s="253"/>
    </row>
    <row r="47" ht="15">
      <c r="F47" s="253"/>
    </row>
    <row r="48" ht="15">
      <c r="F48" s="253"/>
    </row>
    <row r="49" ht="15">
      <c r="F49" s="253"/>
    </row>
    <row r="50" ht="15">
      <c r="F50" s="253"/>
    </row>
    <row r="51" ht="15">
      <c r="F51" s="253"/>
    </row>
    <row r="52" ht="15">
      <c r="F52" s="253"/>
    </row>
    <row r="53" ht="15">
      <c r="F53" s="253"/>
    </row>
    <row r="54" ht="15">
      <c r="F54" s="253"/>
    </row>
    <row r="55" ht="15">
      <c r="F55" s="253"/>
    </row>
    <row r="56" ht="15">
      <c r="F56" s="253"/>
    </row>
    <row r="57" ht="15">
      <c r="F57" s="253"/>
    </row>
    <row r="58" ht="15">
      <c r="F58" s="253"/>
    </row>
    <row r="59" ht="15">
      <c r="F59" s="253"/>
    </row>
    <row r="60" ht="15">
      <c r="F60" s="253"/>
    </row>
    <row r="61" ht="15">
      <c r="F61" s="253"/>
    </row>
    <row r="62" ht="15">
      <c r="F62" s="253"/>
    </row>
    <row r="63" ht="15">
      <c r="F63" s="253"/>
    </row>
    <row r="64" ht="15">
      <c r="F64" s="253"/>
    </row>
    <row r="65" ht="15">
      <c r="F65" s="253"/>
    </row>
    <row r="66" ht="15">
      <c r="F66" s="253"/>
    </row>
    <row r="67" ht="15">
      <c r="F67" s="253"/>
    </row>
    <row r="68" ht="15">
      <c r="F68" s="253"/>
    </row>
    <row r="69" ht="15">
      <c r="F69" s="253"/>
    </row>
    <row r="70" ht="15">
      <c r="F70" s="253"/>
    </row>
    <row r="71" ht="15">
      <c r="F71" s="253"/>
    </row>
    <row r="72" ht="15">
      <c r="F72" s="253"/>
    </row>
    <row r="73" ht="15">
      <c r="F73" s="253"/>
    </row>
    <row r="74" ht="15">
      <c r="F74" s="253"/>
    </row>
    <row r="75" ht="15">
      <c r="F75" s="253"/>
    </row>
    <row r="76" ht="15">
      <c r="F76" s="253"/>
    </row>
    <row r="77" ht="15">
      <c r="F77" s="253"/>
    </row>
    <row r="78" ht="15">
      <c r="F78" s="253"/>
    </row>
    <row r="79" ht="15">
      <c r="F79" s="253"/>
    </row>
    <row r="80" ht="15">
      <c r="F80" s="253"/>
    </row>
    <row r="81" ht="15">
      <c r="F81" s="253"/>
    </row>
    <row r="82" ht="15">
      <c r="F82" s="253"/>
    </row>
    <row r="83" ht="15">
      <c r="F83" s="253"/>
    </row>
    <row r="84" ht="15">
      <c r="F84" s="253"/>
    </row>
    <row r="85" ht="15">
      <c r="F85" s="253"/>
    </row>
    <row r="86" ht="15">
      <c r="F86" s="253"/>
    </row>
    <row r="87" ht="15">
      <c r="F87" s="253"/>
    </row>
    <row r="88" ht="15">
      <c r="F88" s="253"/>
    </row>
    <row r="89" ht="15">
      <c r="F89" s="253"/>
    </row>
    <row r="90" ht="15">
      <c r="F90" s="253"/>
    </row>
    <row r="91" ht="15">
      <c r="F91" s="253"/>
    </row>
    <row r="92" ht="15">
      <c r="F92" s="253"/>
    </row>
    <row r="93" ht="15">
      <c r="F93" s="253"/>
    </row>
    <row r="94" ht="15">
      <c r="F94" s="253"/>
    </row>
    <row r="95" ht="15">
      <c r="F95" s="253"/>
    </row>
    <row r="96" ht="15">
      <c r="F96" s="253"/>
    </row>
    <row r="97" ht="15">
      <c r="F97" s="253"/>
    </row>
    <row r="98" ht="15">
      <c r="F98" s="253"/>
    </row>
    <row r="99" ht="15">
      <c r="F99" s="253"/>
    </row>
    <row r="100" ht="15">
      <c r="F100" s="253"/>
    </row>
    <row r="101" ht="15">
      <c r="F101" s="253"/>
    </row>
    <row r="102" ht="15">
      <c r="F102" s="253"/>
    </row>
    <row r="103" ht="15">
      <c r="F103" s="253"/>
    </row>
    <row r="104" ht="15">
      <c r="F104" s="253"/>
    </row>
    <row r="105" ht="15">
      <c r="F105" s="253"/>
    </row>
    <row r="106" ht="15">
      <c r="F106" s="253"/>
    </row>
    <row r="107" ht="15">
      <c r="F107" s="253"/>
    </row>
    <row r="108" ht="15">
      <c r="F108" s="253"/>
    </row>
    <row r="109" ht="15">
      <c r="F109" s="253"/>
    </row>
    <row r="110" ht="15">
      <c r="F110" s="253"/>
    </row>
    <row r="111" ht="15">
      <c r="F111" s="253"/>
    </row>
    <row r="112" ht="15">
      <c r="F112" s="253"/>
    </row>
    <row r="113" ht="15">
      <c r="F113" s="253"/>
    </row>
    <row r="114" ht="15">
      <c r="F114" s="253"/>
    </row>
    <row r="115" ht="15">
      <c r="F115" s="253"/>
    </row>
    <row r="116" ht="15">
      <c r="F116" s="253"/>
    </row>
    <row r="117" ht="15">
      <c r="F117" s="253"/>
    </row>
    <row r="118" ht="15">
      <c r="F118" s="253"/>
    </row>
    <row r="119" ht="15">
      <c r="F119" s="253"/>
    </row>
    <row r="120" ht="15">
      <c r="F120" s="253"/>
    </row>
    <row r="121" ht="15">
      <c r="F121" s="253"/>
    </row>
    <row r="122" ht="15">
      <c r="F122" s="253"/>
    </row>
    <row r="123" ht="15">
      <c r="F123" s="253"/>
    </row>
    <row r="124" ht="15">
      <c r="F124" s="253"/>
    </row>
    <row r="125" ht="15">
      <c r="F125" s="253"/>
    </row>
    <row r="126" ht="15">
      <c r="F126" s="253"/>
    </row>
    <row r="127" ht="15">
      <c r="F127" s="253"/>
    </row>
    <row r="128" ht="15">
      <c r="F128" s="253"/>
    </row>
    <row r="129" ht="15">
      <c r="F129" s="253"/>
    </row>
    <row r="130" ht="15">
      <c r="F130" s="253"/>
    </row>
    <row r="131" ht="15">
      <c r="F131" s="253"/>
    </row>
    <row r="132" ht="15">
      <c r="F132" s="253"/>
    </row>
    <row r="133" ht="15">
      <c r="F133" s="253"/>
    </row>
    <row r="134" ht="15">
      <c r="F134" s="253"/>
    </row>
    <row r="135" ht="15">
      <c r="F135" s="253"/>
    </row>
    <row r="136" ht="15">
      <c r="F136" s="253"/>
    </row>
    <row r="137" ht="15">
      <c r="F137" s="253"/>
    </row>
    <row r="138" ht="15">
      <c r="F138" s="253"/>
    </row>
    <row r="139" ht="15">
      <c r="F139" s="253"/>
    </row>
    <row r="140" ht="15">
      <c r="F140" s="253"/>
    </row>
    <row r="141" ht="15">
      <c r="F141" s="253"/>
    </row>
    <row r="142" ht="15">
      <c r="F142" s="253"/>
    </row>
    <row r="143" ht="15">
      <c r="F143" s="253"/>
    </row>
    <row r="144" ht="15">
      <c r="F144" s="253"/>
    </row>
    <row r="145" ht="15">
      <c r="F145" s="253"/>
    </row>
    <row r="146" ht="15">
      <c r="F146" s="253"/>
    </row>
    <row r="147" ht="15">
      <c r="F147" s="253"/>
    </row>
    <row r="148" ht="15">
      <c r="F148" s="253"/>
    </row>
    <row r="149" ht="15">
      <c r="F149" s="253"/>
    </row>
    <row r="150" ht="15">
      <c r="F150" s="253"/>
    </row>
    <row r="151" ht="15">
      <c r="F151" s="253"/>
    </row>
    <row r="152" ht="15">
      <c r="F152" s="253"/>
    </row>
    <row r="153" ht="15">
      <c r="F153" s="253"/>
    </row>
    <row r="154" ht="15">
      <c r="F154" s="253"/>
    </row>
    <row r="155" ht="15">
      <c r="F155" s="253"/>
    </row>
    <row r="156" ht="15">
      <c r="F156" s="253"/>
    </row>
    <row r="157" ht="15">
      <c r="F157" s="253"/>
    </row>
    <row r="158" ht="15">
      <c r="F158" s="253"/>
    </row>
    <row r="159" ht="15">
      <c r="F159" s="253"/>
    </row>
    <row r="160" ht="15">
      <c r="F160" s="253"/>
    </row>
    <row r="161" ht="15">
      <c r="F161" s="253"/>
    </row>
    <row r="162" ht="15">
      <c r="F162" s="253"/>
    </row>
    <row r="163" ht="15">
      <c r="F163" s="253"/>
    </row>
    <row r="164" ht="15">
      <c r="F164" s="253"/>
    </row>
    <row r="165" ht="15">
      <c r="F165" s="253"/>
    </row>
    <row r="166" ht="15">
      <c r="F166" s="253"/>
    </row>
    <row r="167" ht="15">
      <c r="F167" s="253"/>
    </row>
    <row r="168" ht="15">
      <c r="F168" s="253"/>
    </row>
    <row r="169" ht="15">
      <c r="F169" s="253"/>
    </row>
    <row r="170" ht="15">
      <c r="F170" s="253"/>
    </row>
    <row r="171" ht="15">
      <c r="F171" s="253"/>
    </row>
    <row r="172" ht="15">
      <c r="F172" s="253"/>
    </row>
    <row r="173" ht="15">
      <c r="F173" s="253"/>
    </row>
    <row r="174" ht="15">
      <c r="F174" s="253"/>
    </row>
    <row r="175" ht="15">
      <c r="F175" s="253"/>
    </row>
    <row r="176" ht="15">
      <c r="F176" s="253"/>
    </row>
    <row r="177" ht="15">
      <c r="F177" s="253"/>
    </row>
    <row r="178" ht="15">
      <c r="F178" s="253"/>
    </row>
    <row r="179" ht="15">
      <c r="F179" s="253"/>
    </row>
    <row r="180" ht="15">
      <c r="F180" s="253"/>
    </row>
    <row r="181" ht="15">
      <c r="F181" s="253"/>
    </row>
    <row r="182" ht="15">
      <c r="F182" s="253"/>
    </row>
  </sheetData>
  <sheetProtection/>
  <mergeCells count="3">
    <mergeCell ref="A1:F1"/>
    <mergeCell ref="A2:F2"/>
    <mergeCell ref="B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8.00390625" style="189" customWidth="1"/>
    <col min="2" max="2" width="32.421875" style="189" customWidth="1"/>
    <col min="3" max="4" width="9.140625" style="189" customWidth="1"/>
    <col min="5" max="5" width="12.8515625" style="252" customWidth="1"/>
    <col min="6" max="6" width="13.8515625" style="254" customWidth="1"/>
    <col min="7" max="16384" width="9.140625" style="189" customWidth="1"/>
  </cols>
  <sheetData>
    <row r="1" spans="1:6" ht="15">
      <c r="A1" s="468" t="str">
        <f>'[1] 0810160  ЗФ 20-22'!A1:L1</f>
        <v>Департамент праці та соціального захисту населення Миколаївської міської ради</v>
      </c>
      <c r="B1" s="468"/>
      <c r="C1" s="468"/>
      <c r="D1" s="468"/>
      <c r="E1" s="468"/>
      <c r="F1" s="468"/>
    </row>
    <row r="2" spans="1:6" ht="15">
      <c r="A2" s="469" t="s">
        <v>688</v>
      </c>
      <c r="B2" s="469"/>
      <c r="C2" s="469"/>
      <c r="D2" s="469"/>
      <c r="E2" s="469"/>
      <c r="F2" s="469"/>
    </row>
    <row r="3" spans="1:6" ht="15.75" thickBot="1">
      <c r="A3" s="221"/>
      <c r="B3" s="469"/>
      <c r="C3" s="469"/>
      <c r="D3" s="469"/>
      <c r="E3" s="469"/>
      <c r="F3" s="222" t="s">
        <v>82</v>
      </c>
    </row>
    <row r="4" spans="1:6" ht="26.25">
      <c r="A4" s="223" t="s">
        <v>510</v>
      </c>
      <c r="B4" s="224" t="s">
        <v>34</v>
      </c>
      <c r="C4" s="225"/>
      <c r="D4" s="226" t="s">
        <v>511</v>
      </c>
      <c r="E4" s="227" t="s">
        <v>512</v>
      </c>
      <c r="F4" s="228" t="s">
        <v>178</v>
      </c>
    </row>
    <row r="5" spans="1:6" ht="15">
      <c r="A5" s="229">
        <v>3000</v>
      </c>
      <c r="B5" s="230" t="s">
        <v>513</v>
      </c>
      <c r="C5" s="231"/>
      <c r="D5" s="231"/>
      <c r="E5" s="232"/>
      <c r="F5" s="233">
        <f>F6</f>
        <v>184600</v>
      </c>
    </row>
    <row r="6" spans="1:6" ht="15">
      <c r="A6" s="229">
        <v>3100</v>
      </c>
      <c r="B6" s="230" t="s">
        <v>514</v>
      </c>
      <c r="C6" s="231"/>
      <c r="D6" s="231"/>
      <c r="E6" s="232"/>
      <c r="F6" s="233">
        <f>F7</f>
        <v>184600</v>
      </c>
    </row>
    <row r="7" spans="1:6" ht="26.25">
      <c r="A7" s="229">
        <v>3110</v>
      </c>
      <c r="B7" s="230" t="s">
        <v>515</v>
      </c>
      <c r="C7" s="231"/>
      <c r="D7" s="231"/>
      <c r="E7" s="232"/>
      <c r="F7" s="233">
        <f>SUM(F8:F10)</f>
        <v>184600</v>
      </c>
    </row>
    <row r="8" spans="1:6" ht="30.75" customHeight="1">
      <c r="A8" s="234"/>
      <c r="B8" s="105" t="s">
        <v>516</v>
      </c>
      <c r="C8" s="235" t="s">
        <v>312</v>
      </c>
      <c r="D8" s="236">
        <v>8</v>
      </c>
      <c r="E8" s="237">
        <f>ROUND(('[1]Кап видатки 2020'!E9*105.7%),)</f>
        <v>16066</v>
      </c>
      <c r="F8" s="238">
        <f>D8*E8</f>
        <v>128528</v>
      </c>
    </row>
    <row r="9" spans="1:6" ht="26.25">
      <c r="A9" s="234"/>
      <c r="B9" s="105" t="s">
        <v>517</v>
      </c>
      <c r="C9" s="235" t="s">
        <v>312</v>
      </c>
      <c r="D9" s="236">
        <v>1</v>
      </c>
      <c r="E9" s="237">
        <f>ROUND(('[1]Кап видатки 2020'!E10*105.7%),)</f>
        <v>16912</v>
      </c>
      <c r="F9" s="238">
        <f>D9*E9</f>
        <v>16912</v>
      </c>
    </row>
    <row r="10" spans="1:6" s="239" customFormat="1" ht="12.75">
      <c r="A10" s="234"/>
      <c r="B10" s="101" t="s">
        <v>519</v>
      </c>
      <c r="C10" s="235" t="s">
        <v>312</v>
      </c>
      <c r="D10" s="236">
        <v>4</v>
      </c>
      <c r="E10" s="237">
        <f>ROUND(('[1]Кап видатки 2020'!E12*105.7%),)+1334</f>
        <v>9790</v>
      </c>
      <c r="F10" s="238">
        <f>D10*E10</f>
        <v>39160</v>
      </c>
    </row>
    <row r="11" spans="1:6" ht="26.25">
      <c r="A11" s="229">
        <v>3160</v>
      </c>
      <c r="B11" s="230" t="s">
        <v>630</v>
      </c>
      <c r="C11" s="231"/>
      <c r="D11" s="231"/>
      <c r="E11" s="232"/>
      <c r="F11" s="233">
        <f>SUM(F12)</f>
        <v>360000</v>
      </c>
    </row>
    <row r="12" spans="1:6" ht="45" customHeight="1" thickBot="1">
      <c r="A12" s="234"/>
      <c r="B12" s="105" t="s">
        <v>631</v>
      </c>
      <c r="C12" s="235" t="s">
        <v>312</v>
      </c>
      <c r="D12" s="236">
        <v>3</v>
      </c>
      <c r="E12" s="237">
        <v>120000</v>
      </c>
      <c r="F12" s="238">
        <f>D12*E12</f>
        <v>360000</v>
      </c>
    </row>
    <row r="13" spans="1:6" ht="15" thickBot="1">
      <c r="A13" s="245"/>
      <c r="B13" s="246" t="s">
        <v>522</v>
      </c>
      <c r="C13" s="247"/>
      <c r="D13" s="247">
        <f>SUM(D8:D12)</f>
        <v>16</v>
      </c>
      <c r="E13" s="248"/>
      <c r="F13" s="249">
        <f>F11+F7</f>
        <v>544600</v>
      </c>
    </row>
    <row r="14" spans="1:6" ht="15">
      <c r="A14" s="250"/>
      <c r="B14" s="250"/>
      <c r="C14" s="250"/>
      <c r="D14" s="250"/>
      <c r="E14" s="251"/>
      <c r="F14" s="251"/>
    </row>
    <row r="15" spans="3:6" ht="15">
      <c r="C15" s="190"/>
      <c r="D15" s="190"/>
      <c r="E15" s="191"/>
      <c r="F15" s="192"/>
    </row>
    <row r="16" spans="3:6" ht="15">
      <c r="C16" s="190"/>
      <c r="D16" s="190"/>
      <c r="E16" s="191"/>
      <c r="F16" s="192"/>
    </row>
    <row r="17" spans="1:7" s="197" customFormat="1" ht="15">
      <c r="A17" s="189"/>
      <c r="B17" s="190" t="s">
        <v>492</v>
      </c>
      <c r="C17" s="193"/>
      <c r="D17" s="193"/>
      <c r="E17" s="192" t="s">
        <v>493</v>
      </c>
      <c r="F17" s="192"/>
      <c r="G17" s="189"/>
    </row>
    <row r="18" spans="2:6" s="197" customFormat="1" ht="15">
      <c r="B18" s="198"/>
      <c r="C18" s="198"/>
      <c r="D18" s="198"/>
      <c r="E18" s="199"/>
      <c r="F18" s="199"/>
    </row>
    <row r="19" spans="1:7" ht="15">
      <c r="A19" s="197"/>
      <c r="B19" s="198"/>
      <c r="C19" s="198"/>
      <c r="D19" s="198"/>
      <c r="E19" s="199"/>
      <c r="F19" s="199"/>
      <c r="G19" s="197"/>
    </row>
    <row r="20" spans="2:6" ht="15">
      <c r="B20" s="200" t="s">
        <v>494</v>
      </c>
      <c r="C20" s="201"/>
      <c r="D20" s="201"/>
      <c r="E20" s="192" t="s">
        <v>495</v>
      </c>
      <c r="F20" s="192"/>
    </row>
    <row r="21" spans="2:6" ht="15">
      <c r="B21" s="200" t="s">
        <v>496</v>
      </c>
      <c r="C21" s="200"/>
      <c r="D21" s="200"/>
      <c r="E21" s="202"/>
      <c r="F21" s="202"/>
    </row>
    <row r="22" spans="1:7" ht="15">
      <c r="A22" s="35"/>
      <c r="B22" s="35"/>
      <c r="C22" s="35"/>
      <c r="D22" s="186"/>
      <c r="E22" s="186"/>
      <c r="F22" s="187"/>
      <c r="G22" s="41"/>
    </row>
    <row r="23" spans="1:7" ht="15">
      <c r="A23" s="35"/>
      <c r="B23" s="35"/>
      <c r="C23" s="35"/>
      <c r="D23" s="186"/>
      <c r="E23" s="186"/>
      <c r="F23" s="187"/>
      <c r="G23" s="41"/>
    </row>
    <row r="24" spans="1:7" ht="15">
      <c r="A24" s="35"/>
      <c r="B24" s="35"/>
      <c r="C24" s="35"/>
      <c r="D24" s="186"/>
      <c r="E24" s="186"/>
      <c r="F24" s="187"/>
      <c r="G24" s="41"/>
    </row>
    <row r="25" spans="1:7" ht="15">
      <c r="A25" s="35"/>
      <c r="B25" s="35"/>
      <c r="C25" s="35"/>
      <c r="D25" s="186"/>
      <c r="E25" s="186"/>
      <c r="F25" s="187"/>
      <c r="G25" s="41"/>
    </row>
    <row r="26" spans="1:7" ht="15">
      <c r="A26" s="35" t="s">
        <v>497</v>
      </c>
      <c r="B26" s="35"/>
      <c r="C26" s="35"/>
      <c r="D26" s="186"/>
      <c r="E26" s="186"/>
      <c r="F26" s="187"/>
      <c r="G26" s="41"/>
    </row>
    <row r="27" spans="1:7" ht="15">
      <c r="A27" s="35"/>
      <c r="B27" s="35" t="s">
        <v>498</v>
      </c>
      <c r="C27" s="35"/>
      <c r="D27" s="186"/>
      <c r="E27" s="186"/>
      <c r="F27" s="187"/>
      <c r="G27" s="41"/>
    </row>
    <row r="28" spans="1:7" ht="15">
      <c r="A28" s="35"/>
      <c r="B28" s="35"/>
      <c r="C28" s="35"/>
      <c r="D28" s="186"/>
      <c r="E28" s="186"/>
      <c r="F28" s="187"/>
      <c r="G28" s="41"/>
    </row>
    <row r="29" spans="1:7" ht="15">
      <c r="A29" s="35"/>
      <c r="B29" s="35"/>
      <c r="C29" s="35"/>
      <c r="D29" s="186"/>
      <c r="E29" s="186"/>
      <c r="F29" s="187"/>
      <c r="G29" s="41"/>
    </row>
    <row r="30" spans="1:7" ht="15">
      <c r="A30" s="35"/>
      <c r="B30" s="35"/>
      <c r="C30" s="35"/>
      <c r="D30" s="186"/>
      <c r="E30" s="186"/>
      <c r="F30" s="187"/>
      <c r="G30" s="41"/>
    </row>
    <row r="31" ht="15">
      <c r="F31" s="253"/>
    </row>
    <row r="32" ht="15">
      <c r="F32" s="253"/>
    </row>
    <row r="33" ht="15">
      <c r="F33" s="253"/>
    </row>
    <row r="34" ht="15">
      <c r="F34" s="253"/>
    </row>
    <row r="35" ht="15">
      <c r="F35" s="253"/>
    </row>
    <row r="36" ht="15">
      <c r="F36" s="253"/>
    </row>
    <row r="37" ht="15">
      <c r="F37" s="253"/>
    </row>
    <row r="38" ht="15">
      <c r="F38" s="253"/>
    </row>
    <row r="39" ht="15">
      <c r="F39" s="253"/>
    </row>
    <row r="40" ht="15">
      <c r="F40" s="253"/>
    </row>
    <row r="41" ht="15">
      <c r="F41" s="253"/>
    </row>
    <row r="42" ht="15">
      <c r="F42" s="253"/>
    </row>
    <row r="43" ht="15">
      <c r="F43" s="253"/>
    </row>
    <row r="44" ht="15">
      <c r="F44" s="253"/>
    </row>
    <row r="45" ht="15">
      <c r="F45" s="253"/>
    </row>
    <row r="46" ht="15">
      <c r="F46" s="253"/>
    </row>
    <row r="47" ht="15">
      <c r="F47" s="253"/>
    </row>
    <row r="48" ht="15">
      <c r="F48" s="253"/>
    </row>
    <row r="49" ht="15">
      <c r="F49" s="253"/>
    </row>
    <row r="50" ht="15">
      <c r="F50" s="253"/>
    </row>
    <row r="51" ht="15">
      <c r="F51" s="253"/>
    </row>
    <row r="52" ht="15">
      <c r="F52" s="253"/>
    </row>
    <row r="53" ht="15">
      <c r="F53" s="253"/>
    </row>
    <row r="54" ht="15">
      <c r="F54" s="253"/>
    </row>
    <row r="55" ht="15">
      <c r="F55" s="253"/>
    </row>
    <row r="56" ht="15">
      <c r="F56" s="253"/>
    </row>
    <row r="57" ht="15">
      <c r="F57" s="253"/>
    </row>
    <row r="58" ht="15">
      <c r="F58" s="253"/>
    </row>
    <row r="59" ht="15">
      <c r="F59" s="253"/>
    </row>
    <row r="60" ht="15">
      <c r="F60" s="253"/>
    </row>
    <row r="61" ht="15">
      <c r="F61" s="253"/>
    </row>
    <row r="62" ht="15">
      <c r="F62" s="253"/>
    </row>
    <row r="63" ht="15">
      <c r="F63" s="253"/>
    </row>
    <row r="64" ht="15">
      <c r="F64" s="253"/>
    </row>
    <row r="65" ht="15">
      <c r="F65" s="253"/>
    </row>
    <row r="66" ht="15">
      <c r="F66" s="253"/>
    </row>
    <row r="67" ht="15">
      <c r="F67" s="253"/>
    </row>
    <row r="68" ht="15">
      <c r="F68" s="253"/>
    </row>
    <row r="69" ht="15">
      <c r="F69" s="253"/>
    </row>
    <row r="70" ht="15">
      <c r="F70" s="253"/>
    </row>
    <row r="71" ht="15">
      <c r="F71" s="253"/>
    </row>
    <row r="72" ht="15">
      <c r="F72" s="253"/>
    </row>
    <row r="73" ht="15">
      <c r="F73" s="253"/>
    </row>
    <row r="74" ht="15">
      <c r="F74" s="253"/>
    </row>
    <row r="75" ht="15">
      <c r="F75" s="253"/>
    </row>
    <row r="76" ht="15">
      <c r="F76" s="253"/>
    </row>
    <row r="77" ht="15">
      <c r="F77" s="253"/>
    </row>
    <row r="78" ht="15">
      <c r="F78" s="253"/>
    </row>
    <row r="79" ht="15">
      <c r="F79" s="253"/>
    </row>
    <row r="80" ht="15">
      <c r="F80" s="253"/>
    </row>
    <row r="81" ht="15">
      <c r="F81" s="253"/>
    </row>
    <row r="82" ht="15">
      <c r="F82" s="253"/>
    </row>
    <row r="83" ht="15">
      <c r="F83" s="253"/>
    </row>
    <row r="84" ht="15">
      <c r="F84" s="253"/>
    </row>
    <row r="85" ht="15">
      <c r="F85" s="253"/>
    </row>
    <row r="86" ht="15">
      <c r="F86" s="253"/>
    </row>
    <row r="87" ht="15">
      <c r="F87" s="253"/>
    </row>
    <row r="88" ht="15">
      <c r="F88" s="253"/>
    </row>
    <row r="89" ht="15">
      <c r="F89" s="253"/>
    </row>
    <row r="90" ht="15">
      <c r="F90" s="253"/>
    </row>
    <row r="91" ht="15">
      <c r="F91" s="253"/>
    </row>
    <row r="92" ht="15">
      <c r="F92" s="253"/>
    </row>
    <row r="93" ht="15">
      <c r="F93" s="253"/>
    </row>
    <row r="94" ht="15">
      <c r="F94" s="253"/>
    </row>
    <row r="95" ht="15">
      <c r="F95" s="253"/>
    </row>
    <row r="96" ht="15">
      <c r="F96" s="253"/>
    </row>
    <row r="97" ht="15">
      <c r="F97" s="253"/>
    </row>
    <row r="98" ht="15">
      <c r="F98" s="253"/>
    </row>
    <row r="99" ht="15">
      <c r="F99" s="253"/>
    </row>
    <row r="100" ht="15">
      <c r="F100" s="253"/>
    </row>
    <row r="101" ht="15">
      <c r="F101" s="253"/>
    </row>
    <row r="102" ht="15">
      <c r="F102" s="253"/>
    </row>
    <row r="103" ht="15">
      <c r="F103" s="253"/>
    </row>
    <row r="104" ht="15">
      <c r="F104" s="253"/>
    </row>
    <row r="105" ht="15">
      <c r="F105" s="253"/>
    </row>
    <row r="106" ht="15">
      <c r="F106" s="253"/>
    </row>
    <row r="107" ht="15">
      <c r="F107" s="253"/>
    </row>
    <row r="108" ht="15">
      <c r="F108" s="253"/>
    </row>
    <row r="109" ht="15">
      <c r="F109" s="253"/>
    </row>
    <row r="110" ht="15">
      <c r="F110" s="253"/>
    </row>
    <row r="111" ht="15">
      <c r="F111" s="253"/>
    </row>
    <row r="112" ht="15">
      <c r="F112" s="253"/>
    </row>
    <row r="113" ht="15">
      <c r="F113" s="253"/>
    </row>
    <row r="114" ht="15">
      <c r="F114" s="253"/>
    </row>
    <row r="115" ht="15">
      <c r="F115" s="253"/>
    </row>
    <row r="116" ht="15">
      <c r="F116" s="253"/>
    </row>
    <row r="117" ht="15">
      <c r="F117" s="253"/>
    </row>
    <row r="118" ht="15">
      <c r="F118" s="253"/>
    </row>
    <row r="119" ht="15">
      <c r="F119" s="253"/>
    </row>
    <row r="120" ht="15">
      <c r="F120" s="253"/>
    </row>
    <row r="121" ht="15">
      <c r="F121" s="253"/>
    </row>
    <row r="122" ht="15">
      <c r="F122" s="253"/>
    </row>
    <row r="123" ht="15">
      <c r="F123" s="253"/>
    </row>
    <row r="124" ht="15">
      <c r="F124" s="253"/>
    </row>
    <row r="125" ht="15">
      <c r="F125" s="253"/>
    </row>
    <row r="126" ht="15">
      <c r="F126" s="253"/>
    </row>
    <row r="127" ht="15">
      <c r="F127" s="253"/>
    </row>
    <row r="128" ht="15">
      <c r="F128" s="253"/>
    </row>
    <row r="129" ht="15">
      <c r="F129" s="253"/>
    </row>
    <row r="130" ht="15">
      <c r="F130" s="253"/>
    </row>
    <row r="131" ht="15">
      <c r="F131" s="253"/>
    </row>
    <row r="132" ht="15">
      <c r="F132" s="253"/>
    </row>
    <row r="133" ht="15">
      <c r="F133" s="253"/>
    </row>
    <row r="134" ht="15">
      <c r="F134" s="253"/>
    </row>
    <row r="135" ht="15">
      <c r="F135" s="253"/>
    </row>
    <row r="136" ht="15">
      <c r="F136" s="253"/>
    </row>
    <row r="137" ht="15">
      <c r="F137" s="253"/>
    </row>
    <row r="138" ht="15">
      <c r="F138" s="253"/>
    </row>
    <row r="139" ht="15">
      <c r="F139" s="253"/>
    </row>
    <row r="140" ht="15">
      <c r="F140" s="253"/>
    </row>
    <row r="141" ht="15">
      <c r="F141" s="253"/>
    </row>
    <row r="142" ht="15">
      <c r="F142" s="253"/>
    </row>
    <row r="143" ht="15">
      <c r="F143" s="253"/>
    </row>
    <row r="144" ht="15">
      <c r="F144" s="253"/>
    </row>
    <row r="145" ht="15">
      <c r="F145" s="253"/>
    </row>
    <row r="146" ht="15">
      <c r="F146" s="253"/>
    </row>
    <row r="147" ht="15">
      <c r="F147" s="253"/>
    </row>
    <row r="148" ht="15">
      <c r="F148" s="253"/>
    </row>
    <row r="149" ht="15">
      <c r="F149" s="253"/>
    </row>
    <row r="150" ht="15">
      <c r="F150" s="253"/>
    </row>
    <row r="151" ht="15">
      <c r="F151" s="253"/>
    </row>
    <row r="152" ht="15">
      <c r="F152" s="253"/>
    </row>
    <row r="153" ht="15">
      <c r="F153" s="253"/>
    </row>
    <row r="154" ht="15">
      <c r="F154" s="253"/>
    </row>
    <row r="155" ht="15">
      <c r="F155" s="253"/>
    </row>
    <row r="156" ht="15">
      <c r="F156" s="253"/>
    </row>
    <row r="157" ht="15">
      <c r="F157" s="253"/>
    </row>
    <row r="158" ht="15">
      <c r="F158" s="253"/>
    </row>
    <row r="159" ht="15">
      <c r="F159" s="253"/>
    </row>
    <row r="160" ht="15">
      <c r="F160" s="253"/>
    </row>
    <row r="161" ht="15">
      <c r="F161" s="253"/>
    </row>
    <row r="162" ht="15">
      <c r="F162" s="253"/>
    </row>
    <row r="163" ht="15">
      <c r="F163" s="253"/>
    </row>
    <row r="164" ht="15">
      <c r="F164" s="253"/>
    </row>
    <row r="165" ht="15">
      <c r="F165" s="253"/>
    </row>
    <row r="166" ht="15">
      <c r="F166" s="253"/>
    </row>
    <row r="167" ht="15">
      <c r="F167" s="253"/>
    </row>
    <row r="168" ht="15">
      <c r="F168" s="253"/>
    </row>
    <row r="169" ht="15">
      <c r="F169" s="253"/>
    </row>
    <row r="170" ht="15">
      <c r="F170" s="253"/>
    </row>
    <row r="171" ht="15">
      <c r="F171" s="253"/>
    </row>
    <row r="172" ht="15">
      <c r="F172" s="253"/>
    </row>
    <row r="173" ht="15">
      <c r="F173" s="253"/>
    </row>
    <row r="174" ht="15">
      <c r="F174" s="253"/>
    </row>
    <row r="175" ht="15">
      <c r="F175" s="253"/>
    </row>
    <row r="176" ht="15">
      <c r="F176" s="253"/>
    </row>
    <row r="177" ht="15">
      <c r="F177" s="253"/>
    </row>
    <row r="178" ht="15">
      <c r="F178" s="253"/>
    </row>
  </sheetData>
  <sheetProtection/>
  <mergeCells count="3">
    <mergeCell ref="A1:F1"/>
    <mergeCell ref="A2:F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4">
      <selection activeCell="D14" sqref="D14"/>
    </sheetView>
  </sheetViews>
  <sheetFormatPr defaultColWidth="9.140625" defaultRowHeight="15"/>
  <cols>
    <col min="1" max="1" width="8.00390625" style="189" customWidth="1"/>
    <col min="2" max="2" width="26.28125" style="189" customWidth="1"/>
    <col min="3" max="4" width="9.140625" style="189" customWidth="1"/>
    <col min="5" max="5" width="12.8515625" style="252" customWidth="1"/>
    <col min="6" max="6" width="13.8515625" style="254" customWidth="1"/>
    <col min="7" max="16384" width="9.140625" style="189" customWidth="1"/>
  </cols>
  <sheetData>
    <row r="1" spans="1:6" ht="15">
      <c r="A1" s="468" t="str">
        <f>'[1] 0810160  ЗФ 20-22'!A1:L1</f>
        <v>Департамент праці та соціального захисту населення Миколаївської міської ради</v>
      </c>
      <c r="B1" s="468"/>
      <c r="C1" s="468"/>
      <c r="D1" s="468"/>
      <c r="E1" s="468"/>
      <c r="F1" s="468"/>
    </row>
    <row r="2" spans="1:6" ht="15">
      <c r="A2" s="469" t="s">
        <v>689</v>
      </c>
      <c r="B2" s="469"/>
      <c r="C2" s="469"/>
      <c r="D2" s="469"/>
      <c r="E2" s="469"/>
      <c r="F2" s="469"/>
    </row>
    <row r="3" spans="1:6" ht="15.75" thickBot="1">
      <c r="A3" s="221"/>
      <c r="B3" s="469"/>
      <c r="C3" s="469"/>
      <c r="D3" s="469"/>
      <c r="E3" s="469"/>
      <c r="F3" s="222" t="s">
        <v>82</v>
      </c>
    </row>
    <row r="4" spans="1:6" ht="26.25">
      <c r="A4" s="223" t="s">
        <v>510</v>
      </c>
      <c r="B4" s="224" t="s">
        <v>34</v>
      </c>
      <c r="C4" s="225"/>
      <c r="D4" s="226" t="s">
        <v>511</v>
      </c>
      <c r="E4" s="227" t="s">
        <v>512</v>
      </c>
      <c r="F4" s="228" t="s">
        <v>178</v>
      </c>
    </row>
    <row r="5" spans="1:6" ht="15">
      <c r="A5" s="229">
        <v>3000</v>
      </c>
      <c r="B5" s="230" t="s">
        <v>513</v>
      </c>
      <c r="C5" s="231"/>
      <c r="D5" s="231"/>
      <c r="E5" s="232"/>
      <c r="F5" s="233">
        <f>F6</f>
        <v>572400</v>
      </c>
    </row>
    <row r="6" spans="1:6" ht="26.25">
      <c r="A6" s="229">
        <v>3100</v>
      </c>
      <c r="B6" s="230" t="s">
        <v>514</v>
      </c>
      <c r="C6" s="231"/>
      <c r="D6" s="231"/>
      <c r="E6" s="232"/>
      <c r="F6" s="233">
        <f>F7</f>
        <v>572400</v>
      </c>
    </row>
    <row r="7" spans="1:6" ht="39">
      <c r="A7" s="229">
        <v>3110</v>
      </c>
      <c r="B7" s="230" t="s">
        <v>515</v>
      </c>
      <c r="C7" s="231"/>
      <c r="D7" s="231"/>
      <c r="E7" s="232"/>
      <c r="F7" s="233">
        <f>SUM(F8:F13)</f>
        <v>572400</v>
      </c>
    </row>
    <row r="8" spans="1:6" ht="40.5" customHeight="1">
      <c r="A8" s="234"/>
      <c r="B8" s="105" t="s">
        <v>516</v>
      </c>
      <c r="C8" s="235" t="s">
        <v>312</v>
      </c>
      <c r="D8" s="236">
        <v>11</v>
      </c>
      <c r="E8" s="237">
        <f>ROUND(('[1]Кап видатки 2021'!E9*105.3%),)+1243</f>
        <v>18160</v>
      </c>
      <c r="F8" s="238">
        <f aca="true" t="shared" si="0" ref="F8:F13">D8*E8</f>
        <v>199760</v>
      </c>
    </row>
    <row r="9" spans="1:6" ht="33" customHeight="1">
      <c r="A9" s="234"/>
      <c r="B9" s="105" t="s">
        <v>517</v>
      </c>
      <c r="C9" s="235" t="s">
        <v>312</v>
      </c>
      <c r="D9" s="236">
        <v>1</v>
      </c>
      <c r="E9" s="237">
        <f>ROUND(('[1]Кап видатки 2021'!E10*105.3%),)+7</f>
        <v>17815</v>
      </c>
      <c r="F9" s="238">
        <f t="shared" si="0"/>
        <v>17815</v>
      </c>
    </row>
    <row r="10" spans="1:6" ht="15">
      <c r="A10" s="234"/>
      <c r="B10" s="105" t="s">
        <v>518</v>
      </c>
      <c r="C10" s="235" t="s">
        <v>312</v>
      </c>
      <c r="D10" s="236">
        <f>12+1</f>
        <v>13</v>
      </c>
      <c r="E10" s="237">
        <f>ROUND(('[1]Кап видатки 2021'!E11*105.3%),)</f>
        <v>10017</v>
      </c>
      <c r="F10" s="238">
        <f t="shared" si="0"/>
        <v>130221</v>
      </c>
    </row>
    <row r="11" spans="1:6" s="239" customFormat="1" ht="12.75">
      <c r="A11" s="234"/>
      <c r="B11" s="101" t="s">
        <v>519</v>
      </c>
      <c r="C11" s="235" t="s">
        <v>312</v>
      </c>
      <c r="D11" s="236">
        <v>3</v>
      </c>
      <c r="E11" s="237">
        <f>ROUND(('[1]Кап видатки 2021'!E12*105.3%),)</f>
        <v>8904</v>
      </c>
      <c r="F11" s="238">
        <f t="shared" si="0"/>
        <v>26712</v>
      </c>
    </row>
    <row r="12" spans="1:6" s="244" customFormat="1" ht="12.75">
      <c r="A12" s="240"/>
      <c r="B12" s="101" t="s">
        <v>520</v>
      </c>
      <c r="C12" s="241" t="s">
        <v>230</v>
      </c>
      <c r="D12" s="242">
        <v>16</v>
      </c>
      <c r="E12" s="237">
        <f>ROUND(('[1]Кап видатки 2021'!E13*105.3%),)</f>
        <v>10017</v>
      </c>
      <c r="F12" s="238">
        <f t="shared" si="0"/>
        <v>160272</v>
      </c>
    </row>
    <row r="13" spans="1:6" s="244" customFormat="1" ht="13.5" thickBot="1">
      <c r="A13" s="240"/>
      <c r="B13" s="101" t="s">
        <v>521</v>
      </c>
      <c r="C13" s="241" t="s">
        <v>230</v>
      </c>
      <c r="D13" s="242">
        <v>2</v>
      </c>
      <c r="E13" s="237">
        <f>ROUND(('[1]Кап видатки 2021'!E14*105.3%),)</f>
        <v>18810</v>
      </c>
      <c r="F13" s="238">
        <f t="shared" si="0"/>
        <v>37620</v>
      </c>
    </row>
    <row r="14" spans="1:6" ht="15" thickBot="1">
      <c r="A14" s="245"/>
      <c r="B14" s="246" t="s">
        <v>522</v>
      </c>
      <c r="C14" s="247"/>
      <c r="D14" s="247">
        <f>SUM(D8:D13)</f>
        <v>46</v>
      </c>
      <c r="E14" s="248"/>
      <c r="F14" s="249">
        <f>F7</f>
        <v>572400</v>
      </c>
    </row>
    <row r="15" spans="1:6" ht="15">
      <c r="A15" s="250"/>
      <c r="B15" s="250"/>
      <c r="C15" s="250"/>
      <c r="D15" s="250"/>
      <c r="E15" s="251"/>
      <c r="F15" s="251"/>
    </row>
    <row r="16" spans="3:6" ht="15">
      <c r="C16" s="190"/>
      <c r="D16" s="190"/>
      <c r="E16" s="191"/>
      <c r="F16" s="192"/>
    </row>
    <row r="17" spans="3:6" ht="15">
      <c r="C17" s="190"/>
      <c r="D17" s="190"/>
      <c r="E17" s="191"/>
      <c r="F17" s="192"/>
    </row>
    <row r="18" spans="1:7" s="197" customFormat="1" ht="15">
      <c r="A18" s="189"/>
      <c r="B18" s="190" t="s">
        <v>492</v>
      </c>
      <c r="C18" s="193"/>
      <c r="D18" s="193"/>
      <c r="E18" s="192" t="s">
        <v>493</v>
      </c>
      <c r="F18" s="192"/>
      <c r="G18" s="189"/>
    </row>
    <row r="19" spans="2:6" s="197" customFormat="1" ht="15">
      <c r="B19" s="198"/>
      <c r="C19" s="198"/>
      <c r="D19" s="198"/>
      <c r="E19" s="199"/>
      <c r="F19" s="199"/>
    </row>
    <row r="20" spans="1:7" ht="15">
      <c r="A20" s="197"/>
      <c r="B20" s="198"/>
      <c r="C20" s="198"/>
      <c r="D20" s="198"/>
      <c r="E20" s="199"/>
      <c r="F20" s="199"/>
      <c r="G20" s="197"/>
    </row>
    <row r="21" spans="2:6" ht="15">
      <c r="B21" s="200" t="s">
        <v>494</v>
      </c>
      <c r="C21" s="201"/>
      <c r="D21" s="201"/>
      <c r="E21" s="192" t="s">
        <v>495</v>
      </c>
      <c r="F21" s="192"/>
    </row>
    <row r="22" spans="2:6" ht="15">
      <c r="B22" s="200" t="s">
        <v>496</v>
      </c>
      <c r="C22" s="200"/>
      <c r="D22" s="200"/>
      <c r="E22" s="202"/>
      <c r="F22" s="202"/>
    </row>
    <row r="23" spans="1:7" ht="15">
      <c r="A23" s="35"/>
      <c r="B23" s="35"/>
      <c r="C23" s="35"/>
      <c r="D23" s="186"/>
      <c r="E23" s="186"/>
      <c r="F23" s="187"/>
      <c r="G23" s="41"/>
    </row>
    <row r="24" spans="1:7" ht="15">
      <c r="A24" s="35"/>
      <c r="B24" s="35"/>
      <c r="C24" s="35"/>
      <c r="D24" s="186"/>
      <c r="E24" s="186"/>
      <c r="F24" s="187"/>
      <c r="G24" s="41"/>
    </row>
    <row r="25" spans="1:7" ht="15">
      <c r="A25" s="35"/>
      <c r="B25" s="35"/>
      <c r="C25" s="35"/>
      <c r="D25" s="186"/>
      <c r="E25" s="186"/>
      <c r="F25" s="187"/>
      <c r="G25" s="41"/>
    </row>
    <row r="26" spans="1:7" ht="15">
      <c r="A26" s="35"/>
      <c r="B26" s="35"/>
      <c r="C26" s="35"/>
      <c r="D26" s="186"/>
      <c r="E26" s="186"/>
      <c r="F26" s="187"/>
      <c r="G26" s="41"/>
    </row>
    <row r="27" spans="1:7" ht="15">
      <c r="A27" s="35" t="s">
        <v>497</v>
      </c>
      <c r="B27" s="35"/>
      <c r="C27" s="35"/>
      <c r="D27" s="186"/>
      <c r="E27" s="186"/>
      <c r="F27" s="187"/>
      <c r="G27" s="41"/>
    </row>
    <row r="28" spans="1:7" ht="15">
      <c r="A28" s="35"/>
      <c r="B28" s="35" t="s">
        <v>498</v>
      </c>
      <c r="C28" s="35"/>
      <c r="D28" s="186"/>
      <c r="E28" s="186"/>
      <c r="F28" s="187"/>
      <c r="G28" s="41"/>
    </row>
    <row r="29" spans="1:7" ht="15">
      <c r="A29" s="35"/>
      <c r="B29" s="35"/>
      <c r="C29" s="35"/>
      <c r="D29" s="186"/>
      <c r="E29" s="186"/>
      <c r="F29" s="187"/>
      <c r="G29" s="41"/>
    </row>
    <row r="30" spans="1:7" ht="15">
      <c r="A30" s="35"/>
      <c r="B30" s="35"/>
      <c r="C30" s="35"/>
      <c r="D30" s="186"/>
      <c r="E30" s="186"/>
      <c r="F30" s="187"/>
      <c r="G30" s="41"/>
    </row>
    <row r="31" spans="1:7" ht="15">
      <c r="A31" s="35"/>
      <c r="B31" s="35"/>
      <c r="C31" s="35"/>
      <c r="D31" s="186"/>
      <c r="E31" s="186"/>
      <c r="F31" s="187"/>
      <c r="G31" s="41"/>
    </row>
    <row r="32" ht="15">
      <c r="F32" s="253"/>
    </row>
    <row r="33" ht="15">
      <c r="F33" s="253"/>
    </row>
    <row r="34" ht="15">
      <c r="F34" s="253"/>
    </row>
    <row r="35" ht="15">
      <c r="F35" s="253"/>
    </row>
    <row r="36" ht="15">
      <c r="F36" s="253"/>
    </row>
    <row r="37" ht="15">
      <c r="F37" s="253"/>
    </row>
    <row r="38" ht="15">
      <c r="F38" s="253"/>
    </row>
    <row r="39" ht="15">
      <c r="F39" s="253"/>
    </row>
    <row r="40" ht="15">
      <c r="F40" s="253"/>
    </row>
    <row r="41" ht="15">
      <c r="F41" s="253"/>
    </row>
    <row r="42" ht="15">
      <c r="F42" s="253"/>
    </row>
    <row r="43" ht="15">
      <c r="F43" s="253"/>
    </row>
    <row r="44" ht="15">
      <c r="F44" s="253"/>
    </row>
    <row r="45" ht="15">
      <c r="F45" s="253"/>
    </row>
    <row r="46" ht="15">
      <c r="F46" s="253"/>
    </row>
    <row r="47" ht="15">
      <c r="F47" s="253"/>
    </row>
    <row r="48" ht="15">
      <c r="F48" s="253"/>
    </row>
    <row r="49" ht="15">
      <c r="F49" s="253"/>
    </row>
    <row r="50" ht="15">
      <c r="F50" s="253"/>
    </row>
    <row r="51" ht="15">
      <c r="F51" s="253"/>
    </row>
    <row r="52" ht="15">
      <c r="F52" s="253"/>
    </row>
    <row r="53" ht="15">
      <c r="F53" s="253"/>
    </row>
    <row r="54" ht="15">
      <c r="F54" s="253"/>
    </row>
    <row r="55" ht="15">
      <c r="F55" s="253"/>
    </row>
    <row r="56" ht="15">
      <c r="F56" s="253"/>
    </row>
    <row r="57" ht="15">
      <c r="F57" s="253"/>
    </row>
    <row r="58" ht="15">
      <c r="F58" s="253"/>
    </row>
    <row r="59" ht="15">
      <c r="F59" s="253"/>
    </row>
    <row r="60" ht="15">
      <c r="F60" s="253"/>
    </row>
    <row r="61" ht="15">
      <c r="F61" s="253"/>
    </row>
    <row r="62" ht="15">
      <c r="F62" s="253"/>
    </row>
    <row r="63" ht="15">
      <c r="F63" s="253"/>
    </row>
    <row r="64" ht="15">
      <c r="F64" s="253"/>
    </row>
    <row r="65" ht="15">
      <c r="F65" s="253"/>
    </row>
    <row r="66" ht="15">
      <c r="F66" s="253"/>
    </row>
    <row r="67" ht="15">
      <c r="F67" s="253"/>
    </row>
    <row r="68" ht="15">
      <c r="F68" s="253"/>
    </row>
    <row r="69" ht="15">
      <c r="F69" s="253"/>
    </row>
    <row r="70" ht="15">
      <c r="F70" s="253"/>
    </row>
    <row r="71" ht="15">
      <c r="F71" s="253"/>
    </row>
    <row r="72" ht="15">
      <c r="F72" s="253"/>
    </row>
    <row r="73" ht="15">
      <c r="F73" s="253"/>
    </row>
    <row r="74" ht="15">
      <c r="F74" s="253"/>
    </row>
    <row r="75" ht="15">
      <c r="F75" s="253"/>
    </row>
    <row r="76" ht="15">
      <c r="F76" s="253"/>
    </row>
    <row r="77" ht="15">
      <c r="F77" s="253"/>
    </row>
    <row r="78" ht="15">
      <c r="F78" s="253"/>
    </row>
    <row r="79" ht="15">
      <c r="F79" s="253"/>
    </row>
    <row r="80" ht="15">
      <c r="F80" s="253"/>
    </row>
    <row r="81" ht="15">
      <c r="F81" s="253"/>
    </row>
    <row r="82" ht="15">
      <c r="F82" s="253"/>
    </row>
    <row r="83" ht="15">
      <c r="F83" s="253"/>
    </row>
    <row r="84" ht="15">
      <c r="F84" s="253"/>
    </row>
    <row r="85" ht="15">
      <c r="F85" s="253"/>
    </row>
    <row r="86" ht="15">
      <c r="F86" s="253"/>
    </row>
    <row r="87" ht="15">
      <c r="F87" s="253"/>
    </row>
    <row r="88" ht="15">
      <c r="F88" s="253"/>
    </row>
    <row r="89" ht="15">
      <c r="F89" s="253"/>
    </row>
    <row r="90" ht="15">
      <c r="F90" s="253"/>
    </row>
    <row r="91" ht="15">
      <c r="F91" s="253"/>
    </row>
    <row r="92" ht="15">
      <c r="F92" s="253"/>
    </row>
    <row r="93" ht="15">
      <c r="F93" s="253"/>
    </row>
    <row r="94" ht="15">
      <c r="F94" s="253"/>
    </row>
    <row r="95" ht="15">
      <c r="F95" s="253"/>
    </row>
    <row r="96" ht="15">
      <c r="F96" s="253"/>
    </row>
    <row r="97" ht="15">
      <c r="F97" s="253"/>
    </row>
    <row r="98" ht="15">
      <c r="F98" s="253"/>
    </row>
    <row r="99" ht="15">
      <c r="F99" s="253"/>
    </row>
    <row r="100" ht="15">
      <c r="F100" s="253"/>
    </row>
    <row r="101" ht="15">
      <c r="F101" s="253"/>
    </row>
    <row r="102" ht="15">
      <c r="F102" s="253"/>
    </row>
    <row r="103" ht="15">
      <c r="F103" s="253"/>
    </row>
    <row r="104" ht="15">
      <c r="F104" s="253"/>
    </row>
    <row r="105" ht="15">
      <c r="F105" s="253"/>
    </row>
    <row r="106" ht="15">
      <c r="F106" s="253"/>
    </row>
    <row r="107" ht="15">
      <c r="F107" s="253"/>
    </row>
    <row r="108" ht="15">
      <c r="F108" s="253"/>
    </row>
    <row r="109" ht="15">
      <c r="F109" s="253"/>
    </row>
    <row r="110" ht="15">
      <c r="F110" s="253"/>
    </row>
    <row r="111" ht="15">
      <c r="F111" s="253"/>
    </row>
    <row r="112" ht="15">
      <c r="F112" s="253"/>
    </row>
    <row r="113" ht="15">
      <c r="F113" s="253"/>
    </row>
    <row r="114" ht="15">
      <c r="F114" s="253"/>
    </row>
    <row r="115" ht="15">
      <c r="F115" s="253"/>
    </row>
    <row r="116" ht="15">
      <c r="F116" s="253"/>
    </row>
    <row r="117" ht="15">
      <c r="F117" s="253"/>
    </row>
    <row r="118" ht="15">
      <c r="F118" s="253"/>
    </row>
    <row r="119" ht="15">
      <c r="F119" s="253"/>
    </row>
    <row r="120" ht="15">
      <c r="F120" s="253"/>
    </row>
    <row r="121" ht="15">
      <c r="F121" s="253"/>
    </row>
    <row r="122" ht="15">
      <c r="F122" s="253"/>
    </row>
    <row r="123" ht="15">
      <c r="F123" s="253"/>
    </row>
    <row r="124" ht="15">
      <c r="F124" s="253"/>
    </row>
    <row r="125" ht="15">
      <c r="F125" s="253"/>
    </row>
    <row r="126" ht="15">
      <c r="F126" s="253"/>
    </row>
    <row r="127" ht="15">
      <c r="F127" s="253"/>
    </row>
    <row r="128" ht="15">
      <c r="F128" s="253"/>
    </row>
    <row r="129" ht="15">
      <c r="F129" s="253"/>
    </row>
    <row r="130" ht="15">
      <c r="F130" s="253"/>
    </row>
    <row r="131" ht="15">
      <c r="F131" s="253"/>
    </row>
    <row r="132" ht="15">
      <c r="F132" s="253"/>
    </row>
    <row r="133" ht="15">
      <c r="F133" s="253"/>
    </row>
    <row r="134" ht="15">
      <c r="F134" s="253"/>
    </row>
    <row r="135" ht="15">
      <c r="F135" s="253"/>
    </row>
    <row r="136" ht="15">
      <c r="F136" s="253"/>
    </row>
    <row r="137" ht="15">
      <c r="F137" s="253"/>
    </row>
    <row r="138" ht="15">
      <c r="F138" s="253"/>
    </row>
    <row r="139" ht="15">
      <c r="F139" s="253"/>
    </row>
    <row r="140" ht="15">
      <c r="F140" s="253"/>
    </row>
    <row r="141" ht="15">
      <c r="F141" s="253"/>
    </row>
    <row r="142" ht="15">
      <c r="F142" s="253"/>
    </row>
    <row r="143" ht="15">
      <c r="F143" s="253"/>
    </row>
    <row r="144" ht="15">
      <c r="F144" s="253"/>
    </row>
    <row r="145" ht="15">
      <c r="F145" s="253"/>
    </row>
    <row r="146" ht="15">
      <c r="F146" s="253"/>
    </row>
    <row r="147" ht="15">
      <c r="F147" s="253"/>
    </row>
    <row r="148" ht="15">
      <c r="F148" s="253"/>
    </row>
    <row r="149" ht="15">
      <c r="F149" s="253"/>
    </row>
    <row r="150" ht="15">
      <c r="F150" s="253"/>
    </row>
    <row r="151" ht="15">
      <c r="F151" s="253"/>
    </row>
    <row r="152" ht="15">
      <c r="F152" s="253"/>
    </row>
    <row r="153" ht="15">
      <c r="F153" s="253"/>
    </row>
    <row r="154" ht="15">
      <c r="F154" s="253"/>
    </row>
    <row r="155" ht="15">
      <c r="F155" s="253"/>
    </row>
    <row r="156" ht="15">
      <c r="F156" s="253"/>
    </row>
    <row r="157" ht="15">
      <c r="F157" s="253"/>
    </row>
    <row r="158" ht="15">
      <c r="F158" s="253"/>
    </row>
    <row r="159" ht="15">
      <c r="F159" s="253"/>
    </row>
    <row r="160" ht="15">
      <c r="F160" s="253"/>
    </row>
    <row r="161" ht="15">
      <c r="F161" s="253"/>
    </row>
    <row r="162" ht="15">
      <c r="F162" s="253"/>
    </row>
    <row r="163" ht="15">
      <c r="F163" s="253"/>
    </row>
    <row r="164" ht="15">
      <c r="F164" s="253"/>
    </row>
    <row r="165" ht="15">
      <c r="F165" s="253"/>
    </row>
    <row r="166" ht="15">
      <c r="F166" s="253"/>
    </row>
    <row r="167" ht="15">
      <c r="F167" s="253"/>
    </row>
    <row r="168" ht="15">
      <c r="F168" s="253"/>
    </row>
    <row r="169" ht="15">
      <c r="F169" s="253"/>
    </row>
    <row r="170" ht="15">
      <c r="F170" s="253"/>
    </row>
    <row r="171" ht="15">
      <c r="F171" s="253"/>
    </row>
    <row r="172" ht="15">
      <c r="F172" s="253"/>
    </row>
    <row r="173" ht="15">
      <c r="F173" s="253"/>
    </row>
    <row r="174" ht="15">
      <c r="F174" s="253"/>
    </row>
    <row r="175" ht="15">
      <c r="F175" s="253"/>
    </row>
    <row r="176" ht="15">
      <c r="F176" s="253"/>
    </row>
    <row r="177" ht="15">
      <c r="F177" s="253"/>
    </row>
    <row r="178" ht="15">
      <c r="F178" s="253"/>
    </row>
    <row r="179" ht="15">
      <c r="F179" s="253"/>
    </row>
  </sheetData>
  <sheetProtection/>
  <mergeCells count="3">
    <mergeCell ref="A1:F1"/>
    <mergeCell ref="A2:F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7">
      <selection activeCell="A18" sqref="A18:H18"/>
    </sheetView>
  </sheetViews>
  <sheetFormatPr defaultColWidth="9.140625" defaultRowHeight="15"/>
  <cols>
    <col min="1" max="2" width="8.8515625" style="268" customWidth="1"/>
    <col min="3" max="3" width="14.57421875" style="268" customWidth="1"/>
    <col min="4" max="8" width="8.8515625" style="268" customWidth="1"/>
    <col min="9" max="9" width="18.7109375" style="268" customWidth="1"/>
    <col min="10" max="16384" width="8.8515625" style="268" customWidth="1"/>
  </cols>
  <sheetData>
    <row r="2" ht="15">
      <c r="C2" s="269" t="s">
        <v>674</v>
      </c>
    </row>
    <row r="3" ht="12.75">
      <c r="B3" s="270" t="s">
        <v>554</v>
      </c>
    </row>
    <row r="4" spans="1:11" ht="26.25" customHeight="1">
      <c r="A4" s="471" t="s">
        <v>555</v>
      </c>
      <c r="B4" s="471"/>
      <c r="C4" s="471"/>
      <c r="D4" s="471"/>
      <c r="E4" s="471"/>
      <c r="F4" s="471"/>
      <c r="G4" s="471"/>
      <c r="H4" s="471"/>
      <c r="I4" s="383"/>
      <c r="J4" s="383"/>
      <c r="K4" s="383"/>
    </row>
    <row r="5" spans="1:8" ht="34.5" customHeight="1">
      <c r="A5" s="472" t="s">
        <v>675</v>
      </c>
      <c r="B5" s="472"/>
      <c r="C5" s="472"/>
      <c r="D5" s="472"/>
      <c r="E5" s="472"/>
      <c r="F5" s="472"/>
      <c r="G5" s="472"/>
      <c r="H5" s="472"/>
    </row>
    <row r="6" spans="1:9" ht="12" customHeight="1">
      <c r="A6" s="384"/>
      <c r="B6" s="271"/>
      <c r="C6" s="271"/>
      <c r="D6" s="271"/>
      <c r="E6" s="271"/>
      <c r="F6" s="271"/>
      <c r="G6" s="271"/>
      <c r="H6" s="271"/>
      <c r="I6" s="272"/>
    </row>
    <row r="7" spans="1:8" ht="62.25" customHeight="1">
      <c r="A7" s="473" t="s">
        <v>704</v>
      </c>
      <c r="B7" s="473"/>
      <c r="C7" s="473"/>
      <c r="D7" s="473"/>
      <c r="E7" s="473"/>
      <c r="F7" s="473"/>
      <c r="G7" s="473"/>
      <c r="H7" s="473"/>
    </row>
    <row r="10" ht="12.75">
      <c r="A10" s="268" t="s">
        <v>649</v>
      </c>
    </row>
    <row r="11" spans="1:5" ht="12.75">
      <c r="A11" s="268" t="s">
        <v>676</v>
      </c>
      <c r="E11" s="386"/>
    </row>
    <row r="12" ht="12.75">
      <c r="A12" s="268" t="s">
        <v>677</v>
      </c>
    </row>
    <row r="13" ht="12.75">
      <c r="A13" s="268" t="s">
        <v>678</v>
      </c>
    </row>
    <row r="14" spans="1:10" ht="30.75" customHeight="1">
      <c r="A14" s="473" t="s">
        <v>683</v>
      </c>
      <c r="B14" s="473"/>
      <c r="C14" s="473"/>
      <c r="D14" s="473"/>
      <c r="E14" s="473"/>
      <c r="F14" s="473"/>
      <c r="G14" s="473"/>
      <c r="H14" s="473"/>
      <c r="I14" s="385"/>
      <c r="J14" s="385"/>
    </row>
    <row r="15" spans="1:8" ht="27" customHeight="1">
      <c r="A15" s="473" t="s">
        <v>684</v>
      </c>
      <c r="B15" s="473"/>
      <c r="C15" s="473"/>
      <c r="D15" s="473"/>
      <c r="E15" s="473"/>
      <c r="F15" s="473"/>
      <c r="G15" s="473"/>
      <c r="H15" s="473"/>
    </row>
    <row r="16" spans="1:8" ht="28.5" customHeight="1">
      <c r="A16" s="473" t="s">
        <v>693</v>
      </c>
      <c r="B16" s="473"/>
      <c r="C16" s="473"/>
      <c r="D16" s="473"/>
      <c r="E16" s="473"/>
      <c r="F16" s="473"/>
      <c r="G16" s="473"/>
      <c r="H16" s="473"/>
    </row>
    <row r="18" spans="1:8" ht="144" customHeight="1">
      <c r="A18" s="474" t="s">
        <v>705</v>
      </c>
      <c r="B18" s="474"/>
      <c r="C18" s="474"/>
      <c r="D18" s="474"/>
      <c r="E18" s="474"/>
      <c r="F18" s="474"/>
      <c r="G18" s="474"/>
      <c r="H18" s="474"/>
    </row>
    <row r="19" spans="1:2" ht="12.75">
      <c r="A19" s="1"/>
      <c r="B19" s="1"/>
    </row>
    <row r="20" spans="1:7" ht="12.75" customHeight="1">
      <c r="A20" s="433" t="s">
        <v>139</v>
      </c>
      <c r="B20" s="433"/>
      <c r="C20" s="433"/>
      <c r="D20" s="268" t="s">
        <v>694</v>
      </c>
      <c r="G20" s="268" t="s">
        <v>141</v>
      </c>
    </row>
    <row r="21" spans="1:2" ht="12.75">
      <c r="A21" s="16"/>
      <c r="B21" s="19"/>
    </row>
    <row r="22" spans="1:7" ht="12.75" customHeight="1">
      <c r="A22" s="433" t="s">
        <v>140</v>
      </c>
      <c r="B22" s="433"/>
      <c r="C22" s="433"/>
      <c r="D22" s="405"/>
      <c r="E22" s="405"/>
      <c r="F22" s="405"/>
      <c r="G22" s="268" t="s">
        <v>142</v>
      </c>
    </row>
    <row r="23" spans="1:2" ht="12.75">
      <c r="A23" s="20"/>
      <c r="B23" s="17"/>
    </row>
  </sheetData>
  <sheetProtection/>
  <mergeCells count="9">
    <mergeCell ref="A20:C20"/>
    <mergeCell ref="A22:C22"/>
    <mergeCell ref="A4:H4"/>
    <mergeCell ref="A5:H5"/>
    <mergeCell ref="A7:H7"/>
    <mergeCell ref="A14:H14"/>
    <mergeCell ref="A15:H15"/>
    <mergeCell ref="A16:H16"/>
    <mergeCell ref="A18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0">
      <selection activeCell="K20" sqref="K20"/>
    </sheetView>
  </sheetViews>
  <sheetFormatPr defaultColWidth="9.140625" defaultRowHeight="15"/>
  <cols>
    <col min="1" max="1" width="15.421875" style="274" bestFit="1" customWidth="1"/>
    <col min="2" max="2" width="9.8515625" style="274" customWidth="1"/>
    <col min="3" max="3" width="9.00390625" style="274" customWidth="1"/>
    <col min="4" max="4" width="8.57421875" style="274" customWidth="1"/>
    <col min="5" max="5" width="9.00390625" style="274" customWidth="1"/>
    <col min="6" max="6" width="8.140625" style="274" customWidth="1"/>
    <col min="7" max="9" width="8.8515625" style="274" customWidth="1"/>
    <col min="10" max="11" width="10.7109375" style="274" customWidth="1"/>
    <col min="12" max="15" width="8.8515625" style="274" customWidth="1"/>
    <col min="16" max="16" width="13.7109375" style="274" customWidth="1"/>
    <col min="17" max="17" width="12.7109375" style="274" customWidth="1"/>
    <col min="18" max="18" width="10.421875" style="274" customWidth="1"/>
    <col min="19" max="19" width="17.7109375" style="274" customWidth="1"/>
    <col min="20" max="16384" width="8.8515625" style="274" customWidth="1"/>
  </cols>
  <sheetData>
    <row r="1" spans="1:19" ht="12.7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 t="s">
        <v>556</v>
      </c>
      <c r="R1" s="273"/>
      <c r="S1" s="273"/>
    </row>
    <row r="2" spans="1:19" ht="12.7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 t="s">
        <v>557</v>
      </c>
      <c r="R2" s="273"/>
      <c r="S2" s="273"/>
    </row>
    <row r="3" spans="1:19" ht="13.5">
      <c r="A3" s="489" t="s">
        <v>558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273"/>
    </row>
    <row r="4" spans="1:19" ht="13.5">
      <c r="A4" s="489" t="s">
        <v>559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273"/>
    </row>
    <row r="5" spans="1:19" ht="13.5">
      <c r="A5" s="489" t="s">
        <v>560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273"/>
    </row>
    <row r="6" spans="1:19" ht="12.75">
      <c r="A6" s="490" t="s">
        <v>561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273"/>
    </row>
    <row r="7" spans="1:19" ht="13.5" thickBot="1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</row>
    <row r="8" spans="1:19" ht="85.5" customHeight="1" thickBot="1">
      <c r="A8" s="491" t="s">
        <v>562</v>
      </c>
      <c r="B8" s="494" t="s">
        <v>563</v>
      </c>
      <c r="C8" s="495"/>
      <c r="D8" s="495"/>
      <c r="E8" s="495"/>
      <c r="F8" s="495"/>
      <c r="G8" s="496"/>
      <c r="H8" s="494" t="s">
        <v>564</v>
      </c>
      <c r="I8" s="495"/>
      <c r="J8" s="495"/>
      <c r="K8" s="495"/>
      <c r="L8" s="495"/>
      <c r="M8" s="495"/>
      <c r="N8" s="497" t="s">
        <v>565</v>
      </c>
      <c r="O8" s="498"/>
      <c r="P8" s="499"/>
      <c r="Q8" s="500" t="s">
        <v>566</v>
      </c>
      <c r="R8" s="501"/>
      <c r="S8" s="475" t="s">
        <v>567</v>
      </c>
    </row>
    <row r="9" spans="1:19" ht="30.75" customHeight="1" thickBot="1">
      <c r="A9" s="492"/>
      <c r="B9" s="478" t="s">
        <v>568</v>
      </c>
      <c r="C9" s="479"/>
      <c r="D9" s="480" t="s">
        <v>569</v>
      </c>
      <c r="E9" s="479"/>
      <c r="F9" s="480" t="s">
        <v>570</v>
      </c>
      <c r="G9" s="481"/>
      <c r="H9" s="478" t="s">
        <v>568</v>
      </c>
      <c r="I9" s="479"/>
      <c r="J9" s="480" t="s">
        <v>569</v>
      </c>
      <c r="K9" s="479"/>
      <c r="L9" s="480" t="s">
        <v>570</v>
      </c>
      <c r="M9" s="482"/>
      <c r="N9" s="483" t="s">
        <v>568</v>
      </c>
      <c r="O9" s="485" t="s">
        <v>569</v>
      </c>
      <c r="P9" s="487" t="s">
        <v>570</v>
      </c>
      <c r="Q9" s="502" t="s">
        <v>571</v>
      </c>
      <c r="R9" s="503"/>
      <c r="S9" s="476"/>
    </row>
    <row r="10" spans="1:19" ht="126" customHeight="1" thickBot="1">
      <c r="A10" s="493"/>
      <c r="B10" s="275" t="s">
        <v>572</v>
      </c>
      <c r="C10" s="276" t="s">
        <v>48</v>
      </c>
      <c r="D10" s="275" t="s">
        <v>572</v>
      </c>
      <c r="E10" s="276" t="s">
        <v>48</v>
      </c>
      <c r="F10" s="275" t="s">
        <v>572</v>
      </c>
      <c r="G10" s="276" t="s">
        <v>48</v>
      </c>
      <c r="H10" s="275" t="s">
        <v>572</v>
      </c>
      <c r="I10" s="276" t="s">
        <v>573</v>
      </c>
      <c r="J10" s="275" t="s">
        <v>572</v>
      </c>
      <c r="K10" s="276" t="s">
        <v>574</v>
      </c>
      <c r="L10" s="275" t="s">
        <v>572</v>
      </c>
      <c r="M10" s="277" t="s">
        <v>574</v>
      </c>
      <c r="N10" s="484"/>
      <c r="O10" s="486"/>
      <c r="P10" s="488"/>
      <c r="Q10" s="278" t="s">
        <v>575</v>
      </c>
      <c r="R10" s="279" t="s">
        <v>576</v>
      </c>
      <c r="S10" s="477"/>
    </row>
    <row r="11" spans="1:19" ht="12.75">
      <c r="A11" s="387">
        <v>1</v>
      </c>
      <c r="B11" s="388">
        <v>2</v>
      </c>
      <c r="C11" s="388">
        <v>3</v>
      </c>
      <c r="D11" s="388">
        <v>4</v>
      </c>
      <c r="E11" s="388">
        <v>5</v>
      </c>
      <c r="F11" s="388">
        <v>6</v>
      </c>
      <c r="G11" s="388">
        <v>7</v>
      </c>
      <c r="H11" s="388">
        <v>8</v>
      </c>
      <c r="I11" s="388">
        <v>9</v>
      </c>
      <c r="J11" s="388">
        <v>10</v>
      </c>
      <c r="K11" s="388">
        <v>11</v>
      </c>
      <c r="L11" s="388">
        <v>12</v>
      </c>
      <c r="M11" s="389">
        <v>13</v>
      </c>
      <c r="N11" s="387">
        <v>14</v>
      </c>
      <c r="O11" s="388">
        <v>15</v>
      </c>
      <c r="P11" s="390">
        <v>16</v>
      </c>
      <c r="Q11" s="387">
        <v>17</v>
      </c>
      <c r="R11" s="390">
        <v>18</v>
      </c>
      <c r="S11" s="391">
        <v>19</v>
      </c>
    </row>
    <row r="12" spans="1:19" ht="12.75">
      <c r="A12" s="392" t="s">
        <v>82</v>
      </c>
      <c r="B12" s="393">
        <v>194</v>
      </c>
      <c r="C12" s="393">
        <v>192</v>
      </c>
      <c r="D12" s="393">
        <v>200</v>
      </c>
      <c r="E12" s="393">
        <v>200</v>
      </c>
      <c r="F12" s="393">
        <v>197</v>
      </c>
      <c r="G12" s="393">
        <v>196</v>
      </c>
      <c r="H12" s="393">
        <v>200</v>
      </c>
      <c r="I12" s="393">
        <v>200</v>
      </c>
      <c r="J12" s="393">
        <v>200</v>
      </c>
      <c r="K12" s="393">
        <v>200</v>
      </c>
      <c r="L12" s="393">
        <v>200</v>
      </c>
      <c r="M12" s="393">
        <v>200</v>
      </c>
      <c r="N12" s="393">
        <v>200</v>
      </c>
      <c r="O12" s="393">
        <v>200</v>
      </c>
      <c r="P12" s="393">
        <v>200</v>
      </c>
      <c r="Q12" s="393">
        <v>0</v>
      </c>
      <c r="R12" s="393">
        <v>0</v>
      </c>
      <c r="S12" s="393"/>
    </row>
    <row r="13" spans="1:19" ht="12.75">
      <c r="A13" s="393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</row>
    <row r="14" spans="1:19" ht="12.75">
      <c r="A14" s="394" t="s">
        <v>579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</row>
    <row r="17" spans="2:11" ht="12.75">
      <c r="B17" s="270" t="s">
        <v>139</v>
      </c>
      <c r="C17" s="268"/>
      <c r="D17" s="268"/>
      <c r="F17" s="274" t="s">
        <v>679</v>
      </c>
      <c r="K17" s="274" t="s">
        <v>141</v>
      </c>
    </row>
    <row r="18" spans="2:4" ht="12.75">
      <c r="B18" s="268"/>
      <c r="C18" s="268"/>
      <c r="D18" s="268"/>
    </row>
    <row r="19" spans="2:11" ht="12.75">
      <c r="B19" s="270" t="s">
        <v>680</v>
      </c>
      <c r="C19" s="268"/>
      <c r="D19" s="268"/>
      <c r="F19" s="274" t="s">
        <v>679</v>
      </c>
      <c r="K19" s="274" t="s">
        <v>142</v>
      </c>
    </row>
    <row r="20" spans="2:4" ht="12.75">
      <c r="B20" s="268"/>
      <c r="C20" s="268"/>
      <c r="D20" s="268"/>
    </row>
  </sheetData>
  <sheetProtection/>
  <mergeCells count="20">
    <mergeCell ref="A3:R3"/>
    <mergeCell ref="A4:R4"/>
    <mergeCell ref="A5:R5"/>
    <mergeCell ref="A6:R6"/>
    <mergeCell ref="A8:A10"/>
    <mergeCell ref="B8:G8"/>
    <mergeCell ref="H8:M8"/>
    <mergeCell ref="N8:P8"/>
    <mergeCell ref="Q8:R8"/>
    <mergeCell ref="Q9:R9"/>
    <mergeCell ref="S8:S10"/>
    <mergeCell ref="B9:C9"/>
    <mergeCell ref="D9:E9"/>
    <mergeCell ref="F9:G9"/>
    <mergeCell ref="H9:I9"/>
    <mergeCell ref="J9:K9"/>
    <mergeCell ref="L9:M9"/>
    <mergeCell ref="N9:N10"/>
    <mergeCell ref="O9:O10"/>
    <mergeCell ref="P9:P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"/>
  <sheetViews>
    <sheetView zoomScalePageLayoutView="0" workbookViewId="0" topLeftCell="Y1">
      <selection activeCell="AJ16" sqref="AJ16"/>
    </sheetView>
  </sheetViews>
  <sheetFormatPr defaultColWidth="9.140625" defaultRowHeight="15"/>
  <cols>
    <col min="1" max="1" width="16.8515625" style="274" bestFit="1" customWidth="1"/>
    <col min="2" max="2" width="6.7109375" style="274" bestFit="1" customWidth="1"/>
    <col min="3" max="3" width="3.28125" style="274" customWidth="1"/>
    <col min="4" max="4" width="3.7109375" style="274" customWidth="1"/>
    <col min="5" max="7" width="3.140625" style="274" bestFit="1" customWidth="1"/>
    <col min="8" max="8" width="4.00390625" style="274" customWidth="1"/>
    <col min="9" max="9" width="3.7109375" style="274" customWidth="1"/>
    <col min="10" max="10" width="3.8515625" style="274" customWidth="1"/>
    <col min="11" max="11" width="3.140625" style="274" bestFit="1" customWidth="1"/>
    <col min="12" max="12" width="3.8515625" style="274" customWidth="1"/>
    <col min="13" max="13" width="4.28125" style="274" customWidth="1"/>
    <col min="14" max="14" width="4.7109375" style="274" customWidth="1"/>
    <col min="15" max="15" width="3.57421875" style="274" customWidth="1"/>
    <col min="16" max="16" width="3.421875" style="274" customWidth="1"/>
    <col min="17" max="17" width="4.00390625" style="274" customWidth="1"/>
    <col min="18" max="19" width="3.7109375" style="274" customWidth="1"/>
    <col min="20" max="20" width="4.140625" style="274" customWidth="1"/>
    <col min="21" max="21" width="3.00390625" style="274" bestFit="1" customWidth="1"/>
    <col min="22" max="22" width="3.00390625" style="274" customWidth="1"/>
    <col min="23" max="23" width="3.140625" style="274" bestFit="1" customWidth="1"/>
    <col min="24" max="24" width="4.00390625" style="274" customWidth="1"/>
    <col min="25" max="25" width="4.421875" style="310" bestFit="1" customWidth="1"/>
    <col min="26" max="26" width="4.421875" style="310" customWidth="1"/>
    <col min="27" max="28" width="6.00390625" style="274" customWidth="1"/>
    <col min="29" max="29" width="7.7109375" style="274" bestFit="1" customWidth="1"/>
    <col min="30" max="30" width="4.7109375" style="274" customWidth="1"/>
    <col min="31" max="31" width="4.57421875" style="274" customWidth="1"/>
    <col min="32" max="32" width="3.140625" style="274" bestFit="1" customWidth="1"/>
    <col min="33" max="33" width="3.7109375" style="274" customWidth="1"/>
    <col min="34" max="34" width="11.421875" style="274" customWidth="1"/>
    <col min="35" max="35" width="9.57421875" style="274" customWidth="1"/>
    <col min="36" max="36" width="7.7109375" style="274" bestFit="1" customWidth="1"/>
    <col min="37" max="37" width="4.140625" style="274" customWidth="1"/>
    <col min="38" max="38" width="5.140625" style="274" customWidth="1"/>
    <col min="39" max="39" width="3.140625" style="274" bestFit="1" customWidth="1"/>
    <col min="40" max="40" width="3.7109375" style="274" customWidth="1"/>
    <col min="41" max="41" width="10.7109375" style="274" customWidth="1"/>
    <col min="42" max="42" width="9.57421875" style="274" customWidth="1"/>
    <col min="43" max="43" width="8.00390625" style="274" bestFit="1" customWidth="1"/>
    <col min="44" max="44" width="5.421875" style="274" customWidth="1"/>
    <col min="45" max="45" width="4.7109375" style="274" customWidth="1"/>
    <col min="46" max="47" width="3.421875" style="274" bestFit="1" customWidth="1"/>
    <col min="48" max="48" width="11.140625" style="274" customWidth="1"/>
    <col min="49" max="49" width="9.57421875" style="274" customWidth="1"/>
    <col min="50" max="50" width="8.00390625" style="274" bestFit="1" customWidth="1"/>
    <col min="51" max="51" width="5.00390625" style="274" customWidth="1"/>
    <col min="52" max="52" width="5.140625" style="274" customWidth="1"/>
    <col min="53" max="54" width="3.421875" style="274" bestFit="1" customWidth="1"/>
    <col min="55" max="55" width="10.8515625" style="274" customWidth="1"/>
    <col min="56" max="56" width="9.7109375" style="274" customWidth="1"/>
    <col min="57" max="57" width="6.8515625" style="274" bestFit="1" customWidth="1"/>
    <col min="58" max="58" width="8.00390625" style="274" bestFit="1" customWidth="1"/>
    <col min="59" max="59" width="5.57421875" style="274" customWidth="1"/>
    <col min="60" max="60" width="4.8515625" style="274" customWidth="1"/>
    <col min="61" max="62" width="3.421875" style="274" bestFit="1" customWidth="1"/>
    <col min="63" max="63" width="10.8515625" style="274" customWidth="1"/>
    <col min="64" max="64" width="11.28125" style="274" customWidth="1"/>
    <col min="65" max="65" width="4.7109375" style="310" customWidth="1"/>
    <col min="66" max="66" width="5.00390625" style="310" customWidth="1"/>
    <col min="67" max="67" width="10.8515625" style="310" customWidth="1"/>
    <col min="68" max="68" width="11.28125" style="310" customWidth="1"/>
    <col min="69" max="16384" width="8.8515625" style="274" customWidth="1"/>
  </cols>
  <sheetData>
    <row r="1" spans="1:70" ht="12.75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U1" s="280"/>
      <c r="V1" s="280"/>
      <c r="W1" s="280"/>
      <c r="X1" s="280"/>
      <c r="Y1" s="281"/>
      <c r="Z1" s="281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68"/>
      <c r="AY1" s="282"/>
      <c r="AZ1" s="282"/>
      <c r="BA1" s="268"/>
      <c r="BB1" s="268"/>
      <c r="BC1" s="268"/>
      <c r="BD1" s="268"/>
      <c r="BE1" s="280"/>
      <c r="BF1" s="280"/>
      <c r="BG1" s="280"/>
      <c r="BH1" s="280"/>
      <c r="BI1" s="280"/>
      <c r="BJ1" s="280"/>
      <c r="BK1" s="282" t="s">
        <v>580</v>
      </c>
      <c r="BL1" s="282"/>
      <c r="BM1" s="281"/>
      <c r="BN1" s="281"/>
      <c r="BO1" s="283"/>
      <c r="BP1" s="283"/>
      <c r="BQ1" s="268"/>
      <c r="BR1" s="268"/>
    </row>
    <row r="2" spans="1:70" ht="12.7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U2" s="280"/>
      <c r="V2" s="280"/>
      <c r="W2" s="280"/>
      <c r="X2" s="280"/>
      <c r="Y2" s="281"/>
      <c r="Z2" s="281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68"/>
      <c r="AY2" s="282"/>
      <c r="AZ2" s="282"/>
      <c r="BA2" s="268"/>
      <c r="BB2" s="268"/>
      <c r="BC2" s="268"/>
      <c r="BD2" s="268"/>
      <c r="BE2" s="280"/>
      <c r="BF2" s="280"/>
      <c r="BG2" s="280"/>
      <c r="BH2" s="280"/>
      <c r="BI2" s="280"/>
      <c r="BJ2" s="280"/>
      <c r="BK2" s="282" t="s">
        <v>557</v>
      </c>
      <c r="BL2" s="282"/>
      <c r="BM2" s="281"/>
      <c r="BN2" s="281"/>
      <c r="BO2" s="283"/>
      <c r="BP2" s="283"/>
      <c r="BQ2" s="268"/>
      <c r="BR2" s="268"/>
    </row>
    <row r="3" spans="1:70" ht="12.7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5"/>
      <c r="Z3" s="285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68"/>
      <c r="BL3" s="268"/>
      <c r="BM3" s="285"/>
      <c r="BN3" s="285"/>
      <c r="BO3" s="283"/>
      <c r="BP3" s="283"/>
      <c r="BQ3" s="268"/>
      <c r="BR3" s="268"/>
    </row>
    <row r="4" spans="1:70" ht="12.7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5"/>
      <c r="Z4" s="285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68"/>
      <c r="BL4" s="268"/>
      <c r="BM4" s="285"/>
      <c r="BN4" s="285"/>
      <c r="BO4" s="283"/>
      <c r="BP4" s="283"/>
      <c r="BQ4" s="268"/>
      <c r="BR4" s="268"/>
    </row>
    <row r="5" spans="1:70" ht="12.75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5"/>
      <c r="Z5" s="285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68"/>
      <c r="BL5" s="268"/>
      <c r="BM5" s="285"/>
      <c r="BN5" s="285"/>
      <c r="BO5" s="283"/>
      <c r="BP5" s="283"/>
      <c r="BQ5" s="268"/>
      <c r="BR5" s="268"/>
    </row>
    <row r="6" spans="1:70" ht="15">
      <c r="A6" s="543" t="s">
        <v>581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3"/>
      <c r="BI6" s="543"/>
      <c r="BJ6" s="543"/>
      <c r="BK6" s="543"/>
      <c r="BL6" s="543"/>
      <c r="BM6" s="543"/>
      <c r="BN6" s="543"/>
      <c r="BO6" s="543"/>
      <c r="BP6" s="543"/>
      <c r="BQ6" s="286"/>
      <c r="BR6" s="286"/>
    </row>
    <row r="7" spans="1:70" ht="13.5" thickBot="1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1"/>
      <c r="Z7" s="281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68"/>
      <c r="BL7" s="268"/>
      <c r="BM7" s="273"/>
      <c r="BN7" s="281"/>
      <c r="BO7" s="283"/>
      <c r="BP7" s="283"/>
      <c r="BQ7" s="268"/>
      <c r="BR7" s="268"/>
    </row>
    <row r="8" spans="1:70" ht="12.75" customHeight="1" thickBot="1">
      <c r="A8" s="544" t="s">
        <v>582</v>
      </c>
      <c r="B8" s="548" t="s">
        <v>562</v>
      </c>
      <c r="C8" s="551" t="s">
        <v>583</v>
      </c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3"/>
      <c r="Z8" s="554"/>
      <c r="AA8" s="555" t="s">
        <v>584</v>
      </c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5"/>
      <c r="BE8" s="555"/>
      <c r="BF8" s="555"/>
      <c r="BG8" s="555"/>
      <c r="BH8" s="555"/>
      <c r="BI8" s="555"/>
      <c r="BJ8" s="555"/>
      <c r="BK8" s="555"/>
      <c r="BL8" s="555"/>
      <c r="BM8" s="555"/>
      <c r="BN8" s="555"/>
      <c r="BO8" s="555"/>
      <c r="BP8" s="556"/>
      <c r="BQ8" s="268"/>
      <c r="BR8" s="268"/>
    </row>
    <row r="9" spans="1:70" ht="12.75" customHeight="1">
      <c r="A9" s="545"/>
      <c r="B9" s="549"/>
      <c r="C9" s="539" t="s">
        <v>585</v>
      </c>
      <c r="D9" s="557"/>
      <c r="E9" s="533">
        <v>2271</v>
      </c>
      <c r="F9" s="527"/>
      <c r="G9" s="527"/>
      <c r="H9" s="560"/>
      <c r="I9" s="533">
        <v>2272</v>
      </c>
      <c r="J9" s="527"/>
      <c r="K9" s="527"/>
      <c r="L9" s="560"/>
      <c r="M9" s="533">
        <v>2273</v>
      </c>
      <c r="N9" s="527"/>
      <c r="O9" s="527"/>
      <c r="P9" s="560"/>
      <c r="Q9" s="533">
        <v>2274</v>
      </c>
      <c r="R9" s="527"/>
      <c r="S9" s="527"/>
      <c r="T9" s="560"/>
      <c r="U9" s="533">
        <v>2275</v>
      </c>
      <c r="V9" s="527"/>
      <c r="W9" s="527"/>
      <c r="X9" s="534"/>
      <c r="Y9" s="535">
        <v>2275</v>
      </c>
      <c r="Z9" s="536"/>
      <c r="AA9" s="537" t="s">
        <v>586</v>
      </c>
      <c r="AB9" s="538"/>
      <c r="AC9" s="526">
        <v>2271</v>
      </c>
      <c r="AD9" s="527"/>
      <c r="AE9" s="527"/>
      <c r="AF9" s="527"/>
      <c r="AG9" s="527"/>
      <c r="AH9" s="528"/>
      <c r="AI9" s="529"/>
      <c r="AJ9" s="526">
        <v>2272</v>
      </c>
      <c r="AK9" s="527"/>
      <c r="AL9" s="527"/>
      <c r="AM9" s="527"/>
      <c r="AN9" s="527"/>
      <c r="AO9" s="528"/>
      <c r="AP9" s="529"/>
      <c r="AQ9" s="526">
        <v>2273</v>
      </c>
      <c r="AR9" s="527"/>
      <c r="AS9" s="527"/>
      <c r="AT9" s="527"/>
      <c r="AU9" s="527"/>
      <c r="AV9" s="527"/>
      <c r="AW9" s="534"/>
      <c r="AX9" s="526">
        <v>2274</v>
      </c>
      <c r="AY9" s="527"/>
      <c r="AZ9" s="527"/>
      <c r="BA9" s="527"/>
      <c r="BB9" s="527"/>
      <c r="BC9" s="528"/>
      <c r="BD9" s="529"/>
      <c r="BE9" s="530">
        <v>2275</v>
      </c>
      <c r="BF9" s="531"/>
      <c r="BG9" s="531"/>
      <c r="BH9" s="531"/>
      <c r="BI9" s="531"/>
      <c r="BJ9" s="531"/>
      <c r="BK9" s="531"/>
      <c r="BL9" s="531"/>
      <c r="BM9" s="531"/>
      <c r="BN9" s="531"/>
      <c r="BO9" s="531"/>
      <c r="BP9" s="532"/>
      <c r="BQ9" s="268"/>
      <c r="BR9" s="268"/>
    </row>
    <row r="10" spans="1:70" ht="81.75" customHeight="1">
      <c r="A10" s="546"/>
      <c r="B10" s="504"/>
      <c r="C10" s="558"/>
      <c r="D10" s="559"/>
      <c r="E10" s="518" t="s">
        <v>587</v>
      </c>
      <c r="F10" s="519"/>
      <c r="G10" s="524" t="s">
        <v>588</v>
      </c>
      <c r="H10" s="525"/>
      <c r="I10" s="518" t="s">
        <v>589</v>
      </c>
      <c r="J10" s="519"/>
      <c r="K10" s="518" t="s">
        <v>588</v>
      </c>
      <c r="L10" s="519"/>
      <c r="M10" s="518" t="s">
        <v>590</v>
      </c>
      <c r="N10" s="519"/>
      <c r="O10" s="518" t="s">
        <v>588</v>
      </c>
      <c r="P10" s="519"/>
      <c r="Q10" s="518" t="s">
        <v>589</v>
      </c>
      <c r="R10" s="519"/>
      <c r="S10" s="518" t="s">
        <v>588</v>
      </c>
      <c r="T10" s="519"/>
      <c r="U10" s="518" t="s">
        <v>591</v>
      </c>
      <c r="V10" s="519"/>
      <c r="W10" s="518" t="s">
        <v>588</v>
      </c>
      <c r="X10" s="519"/>
      <c r="Y10" s="506" t="s">
        <v>592</v>
      </c>
      <c r="Z10" s="507"/>
      <c r="AA10" s="539"/>
      <c r="AB10" s="540"/>
      <c r="AC10" s="541" t="s">
        <v>593</v>
      </c>
      <c r="AD10" s="516" t="s">
        <v>594</v>
      </c>
      <c r="AE10" s="517"/>
      <c r="AF10" s="524" t="s">
        <v>588</v>
      </c>
      <c r="AG10" s="525"/>
      <c r="AH10" s="520" t="s">
        <v>595</v>
      </c>
      <c r="AI10" s="504" t="s">
        <v>596</v>
      </c>
      <c r="AJ10" s="522" t="s">
        <v>597</v>
      </c>
      <c r="AK10" s="516" t="s">
        <v>598</v>
      </c>
      <c r="AL10" s="517"/>
      <c r="AM10" s="524" t="s">
        <v>588</v>
      </c>
      <c r="AN10" s="525"/>
      <c r="AO10" s="520" t="s">
        <v>599</v>
      </c>
      <c r="AP10" s="504" t="s">
        <v>596</v>
      </c>
      <c r="AQ10" s="522" t="s">
        <v>600</v>
      </c>
      <c r="AR10" s="516" t="s">
        <v>601</v>
      </c>
      <c r="AS10" s="517"/>
      <c r="AT10" s="518" t="s">
        <v>588</v>
      </c>
      <c r="AU10" s="519"/>
      <c r="AV10" s="520" t="s">
        <v>602</v>
      </c>
      <c r="AW10" s="504" t="s">
        <v>596</v>
      </c>
      <c r="AX10" s="522" t="s">
        <v>597</v>
      </c>
      <c r="AY10" s="516" t="s">
        <v>598</v>
      </c>
      <c r="AZ10" s="517"/>
      <c r="BA10" s="518" t="s">
        <v>588</v>
      </c>
      <c r="BB10" s="519"/>
      <c r="BC10" s="520" t="s">
        <v>599</v>
      </c>
      <c r="BD10" s="504" t="s">
        <v>596</v>
      </c>
      <c r="BE10" s="512" t="s">
        <v>603</v>
      </c>
      <c r="BF10" s="514" t="s">
        <v>604</v>
      </c>
      <c r="BG10" s="516" t="s">
        <v>605</v>
      </c>
      <c r="BH10" s="517"/>
      <c r="BI10" s="518" t="s">
        <v>588</v>
      </c>
      <c r="BJ10" s="519"/>
      <c r="BK10" s="520" t="s">
        <v>606</v>
      </c>
      <c r="BL10" s="504" t="s">
        <v>596</v>
      </c>
      <c r="BM10" s="506" t="s">
        <v>592</v>
      </c>
      <c r="BN10" s="507"/>
      <c r="BO10" s="508" t="s">
        <v>607</v>
      </c>
      <c r="BP10" s="510" t="s">
        <v>608</v>
      </c>
      <c r="BQ10" s="268"/>
      <c r="BR10" s="268"/>
    </row>
    <row r="11" spans="1:70" ht="78.75" customHeight="1" thickBot="1">
      <c r="A11" s="547"/>
      <c r="B11" s="550"/>
      <c r="C11" s="287" t="s">
        <v>12</v>
      </c>
      <c r="D11" s="288" t="s">
        <v>13</v>
      </c>
      <c r="E11" s="288" t="s">
        <v>12</v>
      </c>
      <c r="F11" s="288" t="s">
        <v>13</v>
      </c>
      <c r="G11" s="288" t="s">
        <v>12</v>
      </c>
      <c r="H11" s="288" t="s">
        <v>13</v>
      </c>
      <c r="I11" s="288" t="s">
        <v>12</v>
      </c>
      <c r="J11" s="288" t="s">
        <v>13</v>
      </c>
      <c r="K11" s="288" t="s">
        <v>12</v>
      </c>
      <c r="L11" s="288" t="s">
        <v>13</v>
      </c>
      <c r="M11" s="288" t="s">
        <v>12</v>
      </c>
      <c r="N11" s="288" t="s">
        <v>13</v>
      </c>
      <c r="O11" s="288" t="s">
        <v>12</v>
      </c>
      <c r="P11" s="288" t="s">
        <v>13</v>
      </c>
      <c r="Q11" s="288" t="s">
        <v>12</v>
      </c>
      <c r="R11" s="288" t="s">
        <v>13</v>
      </c>
      <c r="S11" s="288" t="s">
        <v>12</v>
      </c>
      <c r="T11" s="288" t="s">
        <v>13</v>
      </c>
      <c r="U11" s="288" t="s">
        <v>12</v>
      </c>
      <c r="V11" s="288" t="s">
        <v>13</v>
      </c>
      <c r="W11" s="288" t="s">
        <v>12</v>
      </c>
      <c r="X11" s="289" t="s">
        <v>13</v>
      </c>
      <c r="Y11" s="290" t="s">
        <v>12</v>
      </c>
      <c r="Z11" s="290" t="s">
        <v>13</v>
      </c>
      <c r="AA11" s="288" t="s">
        <v>12</v>
      </c>
      <c r="AB11" s="289" t="s">
        <v>13</v>
      </c>
      <c r="AC11" s="542"/>
      <c r="AD11" s="288" t="s">
        <v>12</v>
      </c>
      <c r="AE11" s="288" t="s">
        <v>13</v>
      </c>
      <c r="AF11" s="288" t="s">
        <v>12</v>
      </c>
      <c r="AG11" s="289" t="s">
        <v>13</v>
      </c>
      <c r="AH11" s="521"/>
      <c r="AI11" s="505"/>
      <c r="AJ11" s="523"/>
      <c r="AK11" s="288" t="s">
        <v>12</v>
      </c>
      <c r="AL11" s="288" t="s">
        <v>13</v>
      </c>
      <c r="AM11" s="288" t="s">
        <v>12</v>
      </c>
      <c r="AN11" s="289" t="s">
        <v>13</v>
      </c>
      <c r="AO11" s="521"/>
      <c r="AP11" s="505"/>
      <c r="AQ11" s="523"/>
      <c r="AR11" s="288" t="s">
        <v>12</v>
      </c>
      <c r="AS11" s="288" t="s">
        <v>13</v>
      </c>
      <c r="AT11" s="288" t="s">
        <v>12</v>
      </c>
      <c r="AU11" s="289" t="s">
        <v>13</v>
      </c>
      <c r="AV11" s="521"/>
      <c r="AW11" s="505"/>
      <c r="AX11" s="523"/>
      <c r="AY11" s="288" t="s">
        <v>12</v>
      </c>
      <c r="AZ11" s="288" t="s">
        <v>13</v>
      </c>
      <c r="BA11" s="288" t="s">
        <v>12</v>
      </c>
      <c r="BB11" s="289" t="s">
        <v>13</v>
      </c>
      <c r="BC11" s="521"/>
      <c r="BD11" s="505"/>
      <c r="BE11" s="513"/>
      <c r="BF11" s="515"/>
      <c r="BG11" s="288" t="s">
        <v>12</v>
      </c>
      <c r="BH11" s="288" t="s">
        <v>13</v>
      </c>
      <c r="BI11" s="288" t="s">
        <v>12</v>
      </c>
      <c r="BJ11" s="289" t="s">
        <v>13</v>
      </c>
      <c r="BK11" s="521"/>
      <c r="BL11" s="505"/>
      <c r="BM11" s="290" t="s">
        <v>12</v>
      </c>
      <c r="BN11" s="291" t="s">
        <v>13</v>
      </c>
      <c r="BO11" s="509"/>
      <c r="BP11" s="511"/>
      <c r="BQ11" s="268"/>
      <c r="BR11" s="268"/>
    </row>
    <row r="12" spans="1:68" s="309" customFormat="1" ht="15.75" customHeight="1" thickBot="1">
      <c r="A12" s="292">
        <v>1</v>
      </c>
      <c r="B12" s="293">
        <v>2</v>
      </c>
      <c r="C12" s="294">
        <v>3</v>
      </c>
      <c r="D12" s="295">
        <v>4</v>
      </c>
      <c r="E12" s="296">
        <v>5</v>
      </c>
      <c r="F12" s="297">
        <v>6</v>
      </c>
      <c r="G12" s="297">
        <v>7</v>
      </c>
      <c r="H12" s="297">
        <v>8</v>
      </c>
      <c r="I12" s="297">
        <v>9</v>
      </c>
      <c r="J12" s="297">
        <v>10</v>
      </c>
      <c r="K12" s="297">
        <v>11</v>
      </c>
      <c r="L12" s="297">
        <v>12</v>
      </c>
      <c r="M12" s="297">
        <v>13</v>
      </c>
      <c r="N12" s="297">
        <v>14</v>
      </c>
      <c r="O12" s="297">
        <v>15</v>
      </c>
      <c r="P12" s="297">
        <v>16</v>
      </c>
      <c r="Q12" s="297">
        <v>17</v>
      </c>
      <c r="R12" s="297">
        <v>18</v>
      </c>
      <c r="S12" s="297">
        <v>19</v>
      </c>
      <c r="T12" s="297">
        <v>20</v>
      </c>
      <c r="U12" s="297">
        <v>21</v>
      </c>
      <c r="V12" s="297">
        <v>22</v>
      </c>
      <c r="W12" s="297">
        <v>23</v>
      </c>
      <c r="X12" s="295">
        <v>24</v>
      </c>
      <c r="Y12" s="298">
        <v>25</v>
      </c>
      <c r="Z12" s="299">
        <v>26</v>
      </c>
      <c r="AA12" s="296">
        <v>27</v>
      </c>
      <c r="AB12" s="300">
        <v>28</v>
      </c>
      <c r="AC12" s="300">
        <v>29</v>
      </c>
      <c r="AD12" s="300">
        <v>30</v>
      </c>
      <c r="AE12" s="300">
        <v>31</v>
      </c>
      <c r="AF12" s="300">
        <v>32</v>
      </c>
      <c r="AG12" s="300">
        <v>33</v>
      </c>
      <c r="AH12" s="300">
        <v>34</v>
      </c>
      <c r="AI12" s="300">
        <v>35</v>
      </c>
      <c r="AJ12" s="300">
        <v>36</v>
      </c>
      <c r="AK12" s="300">
        <v>37</v>
      </c>
      <c r="AL12" s="300">
        <v>38</v>
      </c>
      <c r="AM12" s="300">
        <v>39</v>
      </c>
      <c r="AN12" s="300">
        <v>40</v>
      </c>
      <c r="AO12" s="300">
        <v>41</v>
      </c>
      <c r="AP12" s="300">
        <v>42</v>
      </c>
      <c r="AQ12" s="300">
        <v>43</v>
      </c>
      <c r="AR12" s="300">
        <v>44</v>
      </c>
      <c r="AS12" s="300">
        <v>45</v>
      </c>
      <c r="AT12" s="300">
        <v>46</v>
      </c>
      <c r="AU12" s="300">
        <v>47</v>
      </c>
      <c r="AV12" s="300">
        <v>48</v>
      </c>
      <c r="AW12" s="300">
        <v>49</v>
      </c>
      <c r="AX12" s="300">
        <v>50</v>
      </c>
      <c r="AY12" s="300">
        <v>51</v>
      </c>
      <c r="AZ12" s="300">
        <v>52</v>
      </c>
      <c r="BA12" s="300">
        <v>53</v>
      </c>
      <c r="BB12" s="300">
        <v>54</v>
      </c>
      <c r="BC12" s="301">
        <v>55</v>
      </c>
      <c r="BD12" s="302">
        <v>56</v>
      </c>
      <c r="BE12" s="303">
        <v>57</v>
      </c>
      <c r="BF12" s="303">
        <v>58</v>
      </c>
      <c r="BG12" s="304">
        <v>59</v>
      </c>
      <c r="BH12" s="304">
        <v>60</v>
      </c>
      <c r="BI12" s="302">
        <v>61</v>
      </c>
      <c r="BJ12" s="305">
        <v>62</v>
      </c>
      <c r="BK12" s="302">
        <v>63</v>
      </c>
      <c r="BL12" s="305">
        <v>64</v>
      </c>
      <c r="BM12" s="306">
        <v>65</v>
      </c>
      <c r="BN12" s="306">
        <v>66</v>
      </c>
      <c r="BO12" s="307">
        <v>67</v>
      </c>
      <c r="BP12" s="308">
        <v>68</v>
      </c>
    </row>
    <row r="13" spans="1:70" ht="12.75">
      <c r="A13" s="280" t="s">
        <v>577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1"/>
      <c r="Z13" s="281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68"/>
      <c r="BL13" s="268"/>
      <c r="BM13" s="281"/>
      <c r="BN13" s="281"/>
      <c r="BO13" s="283"/>
      <c r="BP13" s="283"/>
      <c r="BQ13" s="268"/>
      <c r="BR13" s="268"/>
    </row>
    <row r="14" spans="1:70" ht="12.75">
      <c r="A14" s="280" t="s">
        <v>577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1"/>
      <c r="Z14" s="281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68"/>
      <c r="BL14" s="268"/>
      <c r="BM14" s="281"/>
      <c r="BN14" s="281"/>
      <c r="BO14" s="283"/>
      <c r="BP14" s="283"/>
      <c r="BQ14" s="268"/>
      <c r="BR14" s="268"/>
    </row>
    <row r="15" spans="1:70" ht="12.75">
      <c r="A15" s="268" t="s">
        <v>609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83"/>
      <c r="Z15" s="283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83"/>
      <c r="BN15" s="283"/>
      <c r="BO15" s="283"/>
      <c r="BP15" s="283"/>
      <c r="BQ15" s="268"/>
      <c r="BR15" s="268"/>
    </row>
    <row r="16" spans="1:70" ht="12.75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83"/>
      <c r="Z16" s="283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83"/>
      <c r="BN16" s="283"/>
      <c r="BO16" s="283"/>
      <c r="BP16" s="283"/>
      <c r="BQ16" s="268"/>
      <c r="BR16" s="268"/>
    </row>
    <row r="17" spans="1:70" ht="12.75">
      <c r="A17" s="268" t="s">
        <v>579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83"/>
      <c r="Z17" s="283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83"/>
      <c r="BN17" s="283"/>
      <c r="BO17" s="283"/>
      <c r="BP17" s="283"/>
      <c r="BQ17" s="268"/>
      <c r="BR17" s="268"/>
    </row>
  </sheetData>
  <sheetProtection/>
  <mergeCells count="58">
    <mergeCell ref="A6:BP6"/>
    <mergeCell ref="A8:A11"/>
    <mergeCell ref="B8:B11"/>
    <mergeCell ref="C8:Z8"/>
    <mergeCell ref="AA8:BP8"/>
    <mergeCell ref="C9:D10"/>
    <mergeCell ref="E9:H9"/>
    <mergeCell ref="I9:L9"/>
    <mergeCell ref="M9:P9"/>
    <mergeCell ref="Q9:T9"/>
    <mergeCell ref="U9:X9"/>
    <mergeCell ref="Y9:Z9"/>
    <mergeCell ref="AA9:AB10"/>
    <mergeCell ref="AC9:AI9"/>
    <mergeCell ref="AJ9:AP9"/>
    <mergeCell ref="AQ9:AW9"/>
    <mergeCell ref="U10:V10"/>
    <mergeCell ref="W10:X10"/>
    <mergeCell ref="Y10:Z10"/>
    <mergeCell ref="AC10:AC11"/>
    <mergeCell ref="AX9:BD9"/>
    <mergeCell ref="BE9:BP9"/>
    <mergeCell ref="E10:F10"/>
    <mergeCell ref="G10:H10"/>
    <mergeCell ref="I10:J10"/>
    <mergeCell ref="K10:L10"/>
    <mergeCell ref="M10:N10"/>
    <mergeCell ref="O10:P10"/>
    <mergeCell ref="Q10:R10"/>
    <mergeCell ref="S10:T10"/>
    <mergeCell ref="AD10:AE10"/>
    <mergeCell ref="AF10:AG10"/>
    <mergeCell ref="AH10:AH11"/>
    <mergeCell ref="AI10:AI11"/>
    <mergeCell ref="AJ10:AJ11"/>
    <mergeCell ref="AK10:AL10"/>
    <mergeCell ref="AM10:AN10"/>
    <mergeCell ref="AO10:AO11"/>
    <mergeCell ref="AP10:AP11"/>
    <mergeCell ref="AQ10:AQ11"/>
    <mergeCell ref="AR10:AS10"/>
    <mergeCell ref="AT10:AU10"/>
    <mergeCell ref="AV10:AV11"/>
    <mergeCell ref="AW10:AW11"/>
    <mergeCell ref="AX10:AX11"/>
    <mergeCell ref="AY10:AZ10"/>
    <mergeCell ref="BA10:BB10"/>
    <mergeCell ref="BC10:BC11"/>
    <mergeCell ref="BL10:BL11"/>
    <mergeCell ref="BM10:BN10"/>
    <mergeCell ref="BO10:BO11"/>
    <mergeCell ref="BP10:BP11"/>
    <mergeCell ref="BD10:BD11"/>
    <mergeCell ref="BE10:BE11"/>
    <mergeCell ref="BF10:BF11"/>
    <mergeCell ref="BG10:BH10"/>
    <mergeCell ref="BI10:BJ10"/>
    <mergeCell ref="BK10:BK11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Hoz-2</dc:creator>
  <cp:keywords/>
  <dc:description/>
  <cp:lastModifiedBy>Hoz-2</cp:lastModifiedBy>
  <cp:lastPrinted>2019-12-20T12:52:57Z</cp:lastPrinted>
  <dcterms:created xsi:type="dcterms:W3CDTF">2018-10-18T10:50:01Z</dcterms:created>
  <dcterms:modified xsi:type="dcterms:W3CDTF">2019-12-20T12:53:33Z</dcterms:modified>
  <cp:category/>
  <cp:version/>
  <cp:contentType/>
  <cp:contentStatus/>
</cp:coreProperties>
</file>